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istórico de preços" sheetId="1" r:id="rId5"/>
    <sheet state="visible" name="Lista de acompanhamento" sheetId="2" r:id="rId6"/>
  </sheets>
  <definedNames/>
  <calcPr/>
</workbook>
</file>

<file path=xl/sharedStrings.xml><?xml version="1.0" encoding="utf-8"?>
<sst xmlns="http://schemas.openxmlformats.org/spreadsheetml/2006/main" count="28" uniqueCount="22">
  <si>
    <r>
      <rPr>
        <rFont val="Roboto"/>
        <b/>
        <i/>
        <color rgb="FFFFFFFF"/>
      </rPr>
      <t xml:space="preserve">Instruções
</t>
    </r>
    <r>
      <rPr>
        <rFont val="Roboto"/>
        <b val="0"/>
        <i/>
        <color rgb="FFFFFFFF"/>
      </rPr>
      <t>Insira o símbolo da ação na célula B4.</t>
    </r>
  </si>
  <si>
    <t>TECNOLOGIA DO</t>
  </si>
  <si>
    <t>Google Finance</t>
  </si>
  <si>
    <t>GOOG</t>
  </si>
  <si>
    <t>&lt;&lt; insira um símbolo</t>
  </si>
  <si>
    <t>&lt;&lt; ou insira uma bolsa de valores (por exemplo: NASDAQ, NYSE)</t>
  </si>
  <si>
    <t>Preço atual</t>
  </si>
  <si>
    <t>Alteração</t>
  </si>
  <si>
    <t>% da alteração</t>
  </si>
  <si>
    <t>Capitalização de mercado</t>
  </si>
  <si>
    <t>Índice P/L (Preço/Lucro)</t>
  </si>
  <si>
    <t>Beta</t>
  </si>
  <si>
    <t>12 Months</t>
  </si>
  <si>
    <r>
      <rPr>
        <rFont val="Roboto"/>
        <b/>
        <i/>
        <color rgb="FFFFFFFF"/>
      </rPr>
      <t xml:space="preserve">Instruções
</t>
    </r>
    <r>
      <rPr>
        <rFont val="Roboto"/>
        <b val="0"/>
        <i/>
        <color rgb="FFFFFFFF"/>
      </rPr>
      <t>Insira os símbolos na coluna B para acompanhar as ações.
Adicione a quantidade de ações na coluna H para acompanhar o valor atual.</t>
    </r>
  </si>
  <si>
    <t>Lista de interesses</t>
  </si>
  <si>
    <t>Valor atual</t>
  </si>
  <si>
    <t>Símbolo</t>
  </si>
  <si>
    <t>Bolsa
(opcional)</t>
  </si>
  <si>
    <t>Nome da ação</t>
  </si>
  <si>
    <t>Alteração no preço</t>
  </si>
  <si>
    <t>Nº de ações</t>
  </si>
  <si>
    <t>NASDAQ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</si>
</sst>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+#,##0.00;#,-##0.00;#,-"/>
    <numFmt numFmtId="165" formatCode="+0.00%;-0.00%;-"/>
    <numFmt numFmtId="166" formatCode="#,##0,,&quot;M&quot;"/>
    <numFmt numFmtId="167" formatCode="mmm&quot; &quot;d&quot;, &quot;yyyy"/>
    <numFmt numFmtId="168" formatCode="#,##0.00;-#,##0.00;-"/>
    <numFmt numFmtId="169" formatCode="+0.00;-0.00;&quot;-&quot;"/>
    <numFmt numFmtId="170" formatCode="#,##0.00;#,-##0.00;-"/>
  </numFmts>
  <fonts count="18">
    <font>
      <sz val="10.0"/>
      <color rgb="FF000000"/>
      <name val="Arial"/>
      <scheme val="minor"/>
    </font>
    <font>
      <color rgb="FFFFFFFF"/>
      <name val="Roboto"/>
    </font>
    <font>
      <b/>
      <i/>
      <color rgb="FFFFFFFF"/>
      <name val="Roboto"/>
    </font>
    <font>
      <b/>
      <sz val="8.0"/>
      <color rgb="FFFFFFFF"/>
      <name val="Roboto"/>
    </font>
    <font>
      <u/>
      <color rgb="FFFFFFFF"/>
      <name val="Roboto"/>
    </font>
    <font>
      <color theme="1"/>
      <name val="Roboto"/>
    </font>
    <font>
      <color rgb="FFB7B7B7"/>
      <name val="Roboto"/>
    </font>
    <font>
      <sz val="10.0"/>
      <color theme="1"/>
      <name val="Roboto"/>
    </font>
    <font>
      <sz val="36.0"/>
      <color theme="1"/>
      <name val="Roboto"/>
    </font>
    <font>
      <sz val="10.0"/>
      <color rgb="FF38761D"/>
      <name val="Roboto"/>
    </font>
    <font>
      <sz val="9.0"/>
      <color rgb="FF666666"/>
      <name val="Roboto"/>
    </font>
    <font>
      <sz val="24.0"/>
      <color theme="1"/>
      <name val="Roboto"/>
    </font>
    <font>
      <sz val="14.0"/>
      <color theme="1"/>
      <name val="Roboto"/>
    </font>
    <font>
      <sz val="9.0"/>
      <color rgb="FF38761D"/>
      <name val="Roboto"/>
    </font>
    <font>
      <sz val="12.0"/>
      <color theme="1"/>
      <name val="Roboto"/>
    </font>
    <font>
      <b/>
      <color theme="1"/>
      <name val="Roboto"/>
    </font>
    <font>
      <sz val="18.0"/>
      <color theme="1"/>
      <name val="Roboto"/>
    </font>
    <font>
      <b/>
      <sz val="10.0"/>
      <color theme="1"/>
      <name val="Roboto"/>
    </font>
  </fonts>
  <fills count="5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rgb="FFE8F0FE"/>
        <bgColor rgb="FFE8F0FE"/>
      </patternFill>
    </fill>
    <fill>
      <patternFill patternType="solid">
        <fgColor rgb="FFF3F3F3"/>
        <bgColor rgb="FFF3F3F3"/>
      </patternFill>
    </fill>
  </fills>
  <borders count="6">
    <border/>
    <border>
      <left style="thin">
        <color rgb="FF4285F4"/>
      </left>
      <right style="thin">
        <color rgb="FF4285F4"/>
      </right>
      <top style="thin">
        <color rgb="FF4285F4"/>
      </top>
      <bottom style="thin">
        <color rgb="FF4285F4"/>
      </bottom>
    </border>
    <border>
      <right/>
    </border>
    <border>
      <bottom style="thin">
        <color rgb="FF000000"/>
      </bottom>
    </border>
    <border>
      <left style="thin">
        <color rgb="FF434343"/>
      </left>
      <right style="thin">
        <color rgb="FF434343"/>
      </right>
      <top style="thin">
        <color rgb="FF434343"/>
      </top>
      <bottom style="thin">
        <color rgb="FF434343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Alignment="1" applyFont="1">
      <alignment readingOrder="0" vertical="center"/>
    </xf>
    <xf borderId="0" fillId="2" fontId="3" numFmtId="0" xfId="0" applyAlignment="1" applyFont="1">
      <alignment readingOrder="0"/>
    </xf>
    <xf borderId="0" fillId="2" fontId="4" numFmtId="0" xfId="0" applyAlignment="1" applyFont="1">
      <alignment readingOrder="0" vertical="top"/>
    </xf>
    <xf borderId="0" fillId="0" fontId="5" numFmtId="0" xfId="0" applyFont="1"/>
    <xf borderId="1" fillId="3" fontId="5" numFmtId="0" xfId="0" applyAlignment="1" applyBorder="1" applyFill="1" applyFont="1">
      <alignment horizontal="center" readingOrder="0" vertical="bottom"/>
    </xf>
    <xf borderId="2" fillId="0" fontId="6" numFmtId="0" xfId="0" applyAlignment="1" applyBorder="1" applyFont="1">
      <alignment readingOrder="0" shrinkToFit="0" vertical="bottom" wrapText="0"/>
    </xf>
    <xf borderId="1" fillId="4" fontId="5" numFmtId="0" xfId="0" applyAlignment="1" applyBorder="1" applyFill="1" applyFont="1">
      <alignment horizontal="center" readingOrder="0" vertical="bottom"/>
    </xf>
    <xf borderId="0" fillId="0" fontId="6" numFmtId="0" xfId="0" applyAlignment="1" applyFont="1">
      <alignment readingOrder="0" shrinkToFit="0" vertical="bottom" wrapText="0"/>
    </xf>
    <xf borderId="0" fillId="0" fontId="7" numFmtId="0" xfId="0" applyFont="1"/>
    <xf borderId="0" fillId="0" fontId="8" numFmtId="0" xfId="0" applyAlignment="1" applyFont="1">
      <alignment shrinkToFit="0" wrapText="1"/>
    </xf>
    <xf borderId="0" fillId="0" fontId="9" numFmtId="0" xfId="0" applyAlignment="1" applyFont="1">
      <alignment vertical="bottom"/>
    </xf>
    <xf borderId="0" fillId="0" fontId="10" numFmtId="0" xfId="0" applyAlignment="1" applyFont="1">
      <alignment readingOrder="0" vertical="bottom"/>
    </xf>
    <xf borderId="0" fillId="0" fontId="11" numFmtId="4" xfId="0" applyAlignment="1" applyFont="1" applyNumberFormat="1">
      <alignment horizontal="left" vertical="center"/>
    </xf>
    <xf borderId="0" fillId="0" fontId="12" numFmtId="164" xfId="0" applyAlignment="1" applyFont="1" applyNumberFormat="1">
      <alignment horizontal="left" vertical="center"/>
    </xf>
    <xf borderId="0" fillId="0" fontId="12" numFmtId="165" xfId="0" applyAlignment="1" applyFont="1" applyNumberFormat="1">
      <alignment horizontal="left" vertical="center"/>
    </xf>
    <xf borderId="3" fillId="0" fontId="5" numFmtId="0" xfId="0" applyBorder="1" applyFont="1"/>
    <xf borderId="0" fillId="0" fontId="13" numFmtId="0" xfId="0" applyFont="1"/>
    <xf borderId="0" fillId="0" fontId="10" numFmtId="0" xfId="0" applyAlignment="1" applyFont="1">
      <alignment readingOrder="0" shrinkToFit="0" wrapText="1"/>
    </xf>
    <xf borderId="0" fillId="0" fontId="10" numFmtId="0" xfId="0" applyAlignment="1" applyFont="1">
      <alignment readingOrder="0"/>
    </xf>
    <xf borderId="0" fillId="0" fontId="14" numFmtId="0" xfId="0" applyAlignment="1" applyFont="1">
      <alignment horizontal="left" vertical="center"/>
    </xf>
    <xf borderId="0" fillId="0" fontId="14" numFmtId="166" xfId="0" applyAlignment="1" applyFont="1" applyNumberFormat="1">
      <alignment horizontal="left" vertical="center"/>
    </xf>
    <xf borderId="0" fillId="0" fontId="14" numFmtId="4" xfId="0" applyAlignment="1" applyFont="1" applyNumberFormat="1">
      <alignment horizontal="left" vertical="center"/>
    </xf>
    <xf borderId="4" fillId="0" fontId="5" numFmtId="0" xfId="0" applyAlignment="1" applyBorder="1" applyFont="1">
      <alignment readingOrder="0"/>
    </xf>
    <xf borderId="0" fillId="0" fontId="1" numFmtId="0" xfId="0" applyFont="1"/>
    <xf borderId="0" fillId="0" fontId="15" numFmtId="0" xfId="0" applyFont="1"/>
    <xf borderId="5" fillId="0" fontId="15" numFmtId="0" xfId="0" applyAlignment="1" applyBorder="1" applyFont="1">
      <alignment readingOrder="0"/>
    </xf>
    <xf borderId="5" fillId="0" fontId="15" numFmtId="0" xfId="0" applyAlignment="1" applyBorder="1" applyFont="1">
      <alignment horizontal="right" readingOrder="0"/>
    </xf>
    <xf borderId="0" fillId="0" fontId="7" numFmtId="167" xfId="0" applyAlignment="1" applyFont="1" applyNumberFormat="1">
      <alignment horizontal="left"/>
    </xf>
    <xf borderId="0" fillId="0" fontId="7" numFmtId="4" xfId="0" applyFont="1" applyNumberFormat="1"/>
    <xf borderId="0" fillId="0" fontId="7" numFmtId="3" xfId="0" applyFont="1" applyNumberFormat="1"/>
    <xf borderId="0" fillId="0" fontId="16" numFmtId="0" xfId="0" applyAlignment="1" applyFont="1">
      <alignment readingOrder="0"/>
    </xf>
    <xf borderId="0" fillId="0" fontId="11" numFmtId="4" xfId="0" applyAlignment="1" applyFont="1" applyNumberFormat="1">
      <alignment horizontal="left"/>
    </xf>
    <xf borderId="0" fillId="0" fontId="17" numFmtId="0" xfId="0" applyAlignment="1" applyFont="1">
      <alignment horizontal="left" vertical="center"/>
    </xf>
    <xf borderId="5" fillId="0" fontId="17" numFmtId="0" xfId="0" applyAlignment="1" applyBorder="1" applyFont="1">
      <alignment horizontal="left" readingOrder="0" vertical="bottom"/>
    </xf>
    <xf borderId="5" fillId="0" fontId="17" numFmtId="0" xfId="0" applyAlignment="1" applyBorder="1" applyFont="1">
      <alignment horizontal="right" readingOrder="0" vertical="bottom"/>
    </xf>
    <xf borderId="5" fillId="0" fontId="17" numFmtId="0" xfId="0" applyAlignment="1" applyBorder="1" applyFont="1">
      <alignment horizontal="left" readingOrder="0" shrinkToFit="0" vertical="bottom" wrapText="1"/>
    </xf>
    <xf borderId="0" fillId="0" fontId="17" numFmtId="0" xfId="0" applyAlignment="1" applyFont="1">
      <alignment horizontal="right" vertical="center"/>
    </xf>
    <xf borderId="0" fillId="4" fontId="7" numFmtId="0" xfId="0" applyAlignment="1" applyFont="1">
      <alignment readingOrder="0"/>
    </xf>
    <xf borderId="0" fillId="0" fontId="7" numFmtId="168" xfId="0" applyAlignment="1" applyFont="1" applyNumberFormat="1">
      <alignment horizontal="right"/>
    </xf>
    <xf borderId="0" fillId="0" fontId="7" numFmtId="169" xfId="0" applyAlignment="1" applyFont="1" applyNumberFormat="1">
      <alignment horizontal="right"/>
    </xf>
    <xf borderId="0" fillId="0" fontId="7" numFmtId="165" xfId="0" applyAlignment="1" applyFont="1" applyNumberFormat="1">
      <alignment horizontal="right"/>
    </xf>
    <xf borderId="0" fillId="0" fontId="7" numFmtId="170" xfId="0" applyAlignment="1" applyFont="1" applyNumberFormat="1">
      <alignment horizontal="right"/>
    </xf>
    <xf borderId="0" fillId="0" fontId="7" numFmtId="0" xfId="0" applyAlignment="1" applyFont="1">
      <alignment horizontal="right"/>
    </xf>
  </cellXfs>
  <cellStyles count="1">
    <cellStyle xfId="0" name="Normal" builtinId="0"/>
  </cellStyles>
  <dxfs count="7">
    <dxf>
      <font>
        <color rgb="FFFFFFFF"/>
      </font>
      <fill>
        <patternFill patternType="solid">
          <fgColor rgb="FF137333"/>
          <bgColor rgb="FF137333"/>
        </patternFill>
      </fill>
      <border/>
    </dxf>
    <dxf>
      <font>
        <color rgb="FFFFFFFF"/>
      </font>
      <fill>
        <patternFill patternType="solid">
          <fgColor rgb="FFCC0000"/>
          <bgColor rgb="FFCC0000"/>
        </patternFill>
      </fill>
      <border/>
    </dxf>
    <dxf>
      <font>
        <color rgb="FF137333"/>
      </font>
      <fill>
        <patternFill patternType="solid">
          <fgColor rgb="FFE6F4EA"/>
          <bgColor rgb="FFE6F4EA"/>
        </patternFill>
      </fill>
      <border/>
    </dxf>
    <dxf>
      <font>
        <color rgb="FF85200C"/>
      </font>
      <fill>
        <patternFill patternType="solid">
          <fgColor rgb="FFFFFFFF"/>
          <bgColor rgb="FFFFFFFF"/>
        </patternFill>
      </fill>
      <border/>
    </dxf>
    <dxf>
      <font>
        <color rgb="FFC53929"/>
      </font>
      <fill>
        <patternFill patternType="none"/>
      </fill>
      <border/>
    </dxf>
    <dxf>
      <font>
        <color rgb="FF0B8043"/>
      </font>
      <fill>
        <patternFill patternType="none"/>
      </fill>
      <border/>
    </dxf>
    <dxf>
      <font>
        <color rgb="FFCC0000"/>
      </font>
      <fill>
        <patternFill patternType="solid">
          <fgColor rgb="FFFCE8E6"/>
          <bgColor rgb="FFFCE8E6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areaChart>
        <c:ser>
          <c:idx val="0"/>
          <c:order val="0"/>
          <c:tx>
            <c:strRef>
              <c:f>'Histórico de preços'!$F$27</c:f>
            </c:strRef>
          </c:tx>
          <c:spPr>
            <a:solidFill>
              <a:srgbClr val="4285F4">
                <a:alpha val="10000"/>
              </a:srgbClr>
            </a:solidFill>
            <a:ln cmpd="sng">
              <a:solidFill>
                <a:srgbClr val="4285F4"/>
              </a:solidFill>
            </a:ln>
          </c:spPr>
          <c:cat>
            <c:strRef>
              <c:f>'Histórico de preços'!$B$28:$B$1000</c:f>
            </c:strRef>
          </c:cat>
          <c:val>
            <c:numRef>
              <c:f>'Histórico de preços'!$F$28:$F$1000</c:f>
              <c:numCache/>
            </c:numRef>
          </c:val>
        </c:ser>
        <c:axId val="468443013"/>
        <c:axId val="611047275"/>
      </c:areaChart>
      <c:catAx>
        <c:axId val="46844301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>
          <a:ln>
            <a:noFill/>
          </a:ln>
        </c:spPr>
        <c:txPr>
          <a:bodyPr/>
          <a:lstStyle/>
          <a:p>
            <a:pPr lvl="0">
              <a:defRPr b="0">
                <a:solidFill>
                  <a:srgbClr val="666666"/>
                </a:solidFill>
                <a:latin typeface="Roboto"/>
              </a:defRPr>
            </a:pPr>
          </a:p>
        </c:txPr>
        <c:crossAx val="611047275"/>
      </c:catAx>
      <c:valAx>
        <c:axId val="611047275"/>
        <c:scaling>
          <c:orientation val="minMax"/>
        </c:scaling>
        <c:delete val="0"/>
        <c:axPos val="l"/>
        <c:majorGridlines>
          <c:spPr>
            <a:ln>
              <a:solidFill>
                <a:srgbClr val="F3F3F3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468443013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15</xdr:row>
      <xdr:rowOff>0</xdr:rowOff>
    </xdr:from>
    <xdr:ext cx="6000750" cy="2181225"/>
    <xdr:graphicFrame>
      <xdr:nvGraphicFramePr>
        <xdr:cNvPr descr="Line chart showing stock changes over time." id="1" name="Chart 1" title="Line chart showing stock changes over time.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google.com/finance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www.google.com/finance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5.38"/>
    <col customWidth="1" min="2" max="2" width="15.75"/>
    <col customWidth="1" min="8" max="8" width="5.38"/>
  </cols>
  <sheetData>
    <row r="1" ht="22.5" customHeight="1">
      <c r="A1" s="1"/>
      <c r="B1" s="2" t="s">
        <v>0</v>
      </c>
      <c r="G1" s="3" t="s">
        <v>1</v>
      </c>
      <c r="H1" s="1"/>
    </row>
    <row r="2" ht="22.5" customHeight="1">
      <c r="A2" s="1"/>
      <c r="G2" s="4" t="s">
        <v>2</v>
      </c>
      <c r="H2" s="1"/>
    </row>
    <row r="3" ht="11.25" customHeight="1">
      <c r="A3" s="5"/>
      <c r="B3" s="5"/>
      <c r="C3" s="5"/>
      <c r="D3" s="5"/>
      <c r="E3" s="5"/>
      <c r="F3" s="5"/>
      <c r="G3" s="5"/>
      <c r="H3" s="5"/>
    </row>
    <row r="4" ht="15.75" customHeight="1">
      <c r="A4" s="5"/>
      <c r="B4" s="6" t="s">
        <v>3</v>
      </c>
      <c r="C4" s="7" t="s">
        <v>4</v>
      </c>
      <c r="D4" s="5"/>
      <c r="E4" s="5"/>
      <c r="F4" s="5"/>
      <c r="G4" s="5"/>
      <c r="H4" s="5"/>
    </row>
    <row r="5" ht="15.75" customHeight="1">
      <c r="A5" s="5"/>
      <c r="B5" s="8"/>
      <c r="C5" s="9" t="s">
        <v>5</v>
      </c>
      <c r="D5" s="5"/>
      <c r="E5" s="5"/>
      <c r="F5" s="5"/>
      <c r="G5" s="5"/>
      <c r="H5" s="5"/>
    </row>
    <row r="6" ht="11.25" customHeight="1">
      <c r="A6" s="10"/>
      <c r="B6" s="10"/>
      <c r="C6" s="10"/>
      <c r="D6" s="10"/>
      <c r="E6" s="10"/>
      <c r="F6" s="10"/>
      <c r="G6" s="10"/>
      <c r="H6" s="10"/>
    </row>
    <row r="7">
      <c r="A7" s="5"/>
      <c r="B7" s="11" t="str">
        <f>IFERROR(__xludf.DUMMYFUNCTION("GOOGLEFINANCE(B18,""name"")"),"Alphabet Inc Class C")</f>
        <v>Alphabet Inc Class C</v>
      </c>
      <c r="H7" s="5"/>
    </row>
    <row r="8" ht="11.25" customHeight="1">
      <c r="A8" s="5"/>
      <c r="B8" s="5"/>
      <c r="C8" s="5"/>
      <c r="D8" s="5"/>
      <c r="E8" s="5"/>
      <c r="F8" s="5"/>
      <c r="G8" s="5"/>
      <c r="H8" s="5"/>
    </row>
    <row r="9" ht="12.0" customHeight="1">
      <c r="A9" s="12"/>
      <c r="B9" s="13" t="s">
        <v>6</v>
      </c>
      <c r="C9" s="12"/>
      <c r="D9" s="13" t="s">
        <v>7</v>
      </c>
      <c r="E9" s="13" t="s">
        <v>8</v>
      </c>
      <c r="F9" s="12"/>
      <c r="G9" s="12"/>
      <c r="H9" s="12"/>
    </row>
    <row r="10">
      <c r="A10" s="5"/>
      <c r="B10" s="14">
        <f>IFERROR(__xludf.DUMMYFUNCTION("GOOGLEFINANCE(B18,""price"")"),355.01)</f>
        <v>355.01</v>
      </c>
      <c r="D10" s="15">
        <f>IFERROR(__xludf.DUMMYFUNCTION("IFERROR(GOOGLEFINANCE(B18,""change""),""-"")"),4.34)</f>
        <v>4.34</v>
      </c>
      <c r="E10" s="16">
        <f>IFERROR(__xludf.DUMMYFUNCTION("IFERROR(GOOGLEFINANCE(B18,""changepct"")/100,""-"")"),0.0124)</f>
        <v>0.0124</v>
      </c>
      <c r="F10" s="5"/>
      <c r="G10" s="5"/>
      <c r="H10" s="5"/>
    </row>
    <row r="11" ht="11.25" customHeight="1">
      <c r="A11" s="5"/>
      <c r="B11" s="17"/>
      <c r="C11" s="17"/>
      <c r="D11" s="17"/>
      <c r="E11" s="17"/>
      <c r="F11" s="17"/>
      <c r="G11" s="17"/>
      <c r="H11" s="5"/>
    </row>
    <row r="12" ht="11.25" customHeight="1">
      <c r="A12" s="5"/>
      <c r="B12" s="5"/>
      <c r="C12" s="5"/>
      <c r="D12" s="5"/>
      <c r="E12" s="5"/>
      <c r="F12" s="5"/>
      <c r="G12" s="5"/>
      <c r="H12" s="5"/>
    </row>
    <row r="13" ht="26.25" customHeight="1">
      <c r="A13" s="18"/>
      <c r="B13" s="19" t="s">
        <v>9</v>
      </c>
      <c r="C13" s="19" t="s">
        <v>10</v>
      </c>
      <c r="D13" s="20" t="s">
        <v>11</v>
      </c>
      <c r="E13" s="18"/>
      <c r="F13" s="18"/>
      <c r="G13" s="18"/>
      <c r="H13" s="18"/>
    </row>
    <row r="14">
      <c r="A14" s="21"/>
      <c r="B14" s="22">
        <f>IFERROR(__xludf.DUMMYFUNCTION("IFERROR(GOOGLEFINANCE(B18,""marketcap""),""-"")"),4.343381066132E12)</f>
        <v>4343381066132</v>
      </c>
      <c r="C14" s="23">
        <f>IFERROR(__xludf.DUMMYFUNCTION("IFERROR(GOOGLEFINANCE(B18,""pe""),""-"")"),27.07)</f>
        <v>27.07</v>
      </c>
      <c r="D14" s="23">
        <f>IFERROR(__xludf.DUMMYFUNCTION("IFERROR(GOOGLEFINANCE(B18,""beta""),""-"")"),1.23)</f>
        <v>1.23</v>
      </c>
      <c r="E14" s="21"/>
      <c r="F14" s="21"/>
      <c r="G14" s="21"/>
      <c r="H14" s="21"/>
    </row>
    <row r="15" ht="15.75" customHeight="1">
      <c r="A15" s="5"/>
      <c r="B15" s="5"/>
      <c r="C15" s="5"/>
      <c r="D15" s="5"/>
      <c r="E15" s="5"/>
      <c r="F15" s="5"/>
      <c r="G15" s="24" t="s">
        <v>12</v>
      </c>
      <c r="H15" s="5"/>
    </row>
    <row r="16" ht="15.75" customHeight="1">
      <c r="A16" s="5"/>
      <c r="B16" s="5"/>
      <c r="C16" s="5"/>
      <c r="D16" s="5"/>
      <c r="E16" s="5"/>
      <c r="F16" s="5"/>
      <c r="G16" s="5"/>
      <c r="H16" s="5"/>
    </row>
    <row r="17" ht="15.75" customHeight="1">
      <c r="A17" s="5"/>
      <c r="B17" s="5"/>
      <c r="C17" s="5"/>
      <c r="D17" s="5"/>
      <c r="E17" s="5"/>
      <c r="F17" s="5"/>
      <c r="G17" s="5"/>
      <c r="H17" s="5"/>
    </row>
    <row r="18" ht="15.75" customHeight="1">
      <c r="A18" s="5"/>
      <c r="B18" s="25" t="str">
        <f>IF(ISBLANK(B5),"",B5&amp;":")&amp;B4</f>
        <v>GOOG</v>
      </c>
      <c r="C18" s="5"/>
      <c r="D18" s="5"/>
      <c r="E18" s="5"/>
      <c r="F18" s="5"/>
      <c r="G18" s="5"/>
      <c r="H18" s="5"/>
    </row>
    <row r="19" ht="15.75" customHeight="1">
      <c r="A19" s="5"/>
      <c r="B19" s="5"/>
      <c r="C19" s="5"/>
      <c r="D19" s="5"/>
      <c r="E19" s="5"/>
      <c r="F19" s="5"/>
      <c r="G19" s="5"/>
      <c r="H19" s="5"/>
    </row>
    <row r="20" ht="15.75" customHeight="1">
      <c r="A20" s="5"/>
      <c r="B20" s="5"/>
      <c r="C20" s="5"/>
      <c r="D20" s="5"/>
      <c r="E20" s="5"/>
      <c r="F20" s="5"/>
      <c r="G20" s="5"/>
      <c r="H20" s="5"/>
    </row>
    <row r="21" ht="15.75" customHeight="1">
      <c r="A21" s="5"/>
      <c r="B21" s="5"/>
      <c r="C21" s="5"/>
      <c r="D21" s="5"/>
      <c r="E21" s="5"/>
      <c r="F21" s="5"/>
      <c r="G21" s="5"/>
      <c r="H21" s="5"/>
    </row>
    <row r="22" ht="15.75" customHeight="1">
      <c r="A22" s="5"/>
      <c r="B22" s="5"/>
      <c r="C22" s="5"/>
      <c r="D22" s="5"/>
      <c r="E22" s="5"/>
      <c r="F22" s="5"/>
      <c r="G22" s="5"/>
      <c r="H22" s="5"/>
    </row>
    <row r="23" ht="15.75" customHeight="1">
      <c r="A23" s="5"/>
      <c r="B23" s="5"/>
      <c r="C23" s="5"/>
      <c r="D23" s="5"/>
      <c r="E23" s="5"/>
      <c r="F23" s="5"/>
      <c r="G23" s="5"/>
      <c r="H23" s="5"/>
    </row>
    <row r="24" ht="15.75" customHeight="1">
      <c r="A24" s="5"/>
      <c r="B24" s="5"/>
      <c r="C24" s="5"/>
      <c r="D24" s="5"/>
      <c r="E24" s="5"/>
      <c r="F24" s="5"/>
      <c r="G24" s="5"/>
      <c r="H24" s="5"/>
    </row>
    <row r="25" ht="15.75" customHeight="1">
      <c r="A25" s="5"/>
      <c r="B25" s="5"/>
      <c r="C25" s="5"/>
      <c r="D25" s="5"/>
      <c r="E25" s="5"/>
      <c r="F25" s="5"/>
      <c r="G25" s="5"/>
      <c r="H25" s="5"/>
    </row>
    <row r="26" ht="15.75" customHeight="1">
      <c r="A26" s="5"/>
      <c r="B26" s="5"/>
      <c r="C26" s="5"/>
      <c r="D26" s="5"/>
      <c r="E26" s="5"/>
      <c r="F26" s="5"/>
      <c r="G26" s="5"/>
      <c r="H26" s="5"/>
    </row>
    <row r="27" ht="15.75" customHeight="1">
      <c r="A27" s="26"/>
      <c r="B27" s="27" t="str">
        <f>IFERROR(__xludf.DUMMYFUNCTION("GOOGLEFINANCE(B18, ""all"", EDATE(TODAY(), -LEFT(G15, FIND("" "", G15))), TODAY(), ""DAILY"")"),"Date")</f>
        <v>Date</v>
      </c>
      <c r="C27" s="28" t="str">
        <f>IFERROR(__xludf.DUMMYFUNCTION("""COMPUTED_VALUE"""),"Open")</f>
        <v>Open</v>
      </c>
      <c r="D27" s="28" t="str">
        <f>IFERROR(__xludf.DUMMYFUNCTION("""COMPUTED_VALUE"""),"High")</f>
        <v>High</v>
      </c>
      <c r="E27" s="28" t="str">
        <f>IFERROR(__xludf.DUMMYFUNCTION("""COMPUTED_VALUE"""),"Low")</f>
        <v>Low</v>
      </c>
      <c r="F27" s="28" t="str">
        <f>IFERROR(__xludf.DUMMYFUNCTION("""COMPUTED_VALUE"""),"Close")</f>
        <v>Close</v>
      </c>
      <c r="G27" s="28" t="str">
        <f>IFERROR(__xludf.DUMMYFUNCTION("""COMPUTED_VALUE"""),"Volume")</f>
        <v>Volume</v>
      </c>
      <c r="H27" s="26"/>
    </row>
    <row r="28" ht="17.25" customHeight="1">
      <c r="A28" s="10"/>
      <c r="B28" s="29">
        <f>IFERROR(__xludf.DUMMYFUNCTION("""COMPUTED_VALUE"""),45852.66666666667)</f>
        <v>45852.66667</v>
      </c>
      <c r="C28" s="30">
        <f>IFERROR(__xludf.DUMMYFUNCTION("""COMPUTED_VALUE"""),182.07)</f>
        <v>182.07</v>
      </c>
      <c r="D28" s="30">
        <f>IFERROR(__xludf.DUMMYFUNCTION("""COMPUTED_VALUE"""),184.73)</f>
        <v>184.73</v>
      </c>
      <c r="E28" s="30">
        <f>IFERROR(__xludf.DUMMYFUNCTION("""COMPUTED_VALUE"""),180.71)</f>
        <v>180.71</v>
      </c>
      <c r="F28" s="30">
        <f>IFERROR(__xludf.DUMMYFUNCTION("""COMPUTED_VALUE"""),182.81)</f>
        <v>182.81</v>
      </c>
      <c r="G28" s="31">
        <f>IFERROR(__xludf.DUMMYFUNCTION("""COMPUTED_VALUE"""),2.0990352E7)</f>
        <v>20990352</v>
      </c>
      <c r="H28" s="10"/>
    </row>
    <row r="29" ht="17.25" customHeight="1">
      <c r="A29" s="10"/>
      <c r="B29" s="29">
        <f>IFERROR(__xludf.DUMMYFUNCTION("""COMPUTED_VALUE"""),45853.66666666667)</f>
        <v>45853.66667</v>
      </c>
      <c r="C29" s="30">
        <f>IFERROR(__xludf.DUMMYFUNCTION("""COMPUTED_VALUE"""),183.94)</f>
        <v>183.94</v>
      </c>
      <c r="D29" s="30">
        <f>IFERROR(__xludf.DUMMYFUNCTION("""COMPUTED_VALUE"""),185.41)</f>
        <v>185.41</v>
      </c>
      <c r="E29" s="30">
        <f>IFERROR(__xludf.DUMMYFUNCTION("""COMPUTED_VALUE"""),182.39)</f>
        <v>182.39</v>
      </c>
      <c r="F29" s="30">
        <f>IFERROR(__xludf.DUMMYFUNCTION("""COMPUTED_VALUE"""),183.1)</f>
        <v>183.1</v>
      </c>
      <c r="G29" s="31">
        <f>IFERROR(__xludf.DUMMYFUNCTION("""COMPUTED_VALUE"""),2.3911567E7)</f>
        <v>23911567</v>
      </c>
      <c r="H29" s="10"/>
    </row>
    <row r="30" ht="17.25" customHeight="1">
      <c r="A30" s="10"/>
      <c r="B30" s="29">
        <f>IFERROR(__xludf.DUMMYFUNCTION("""COMPUTED_VALUE"""),45854.66666666667)</f>
        <v>45854.66667</v>
      </c>
      <c r="C30" s="30">
        <f>IFERROR(__xludf.DUMMYFUNCTION("""COMPUTED_VALUE"""),184.32)</f>
        <v>184.32</v>
      </c>
      <c r="D30" s="30">
        <f>IFERROR(__xludf.DUMMYFUNCTION("""COMPUTED_VALUE"""),185.34)</f>
        <v>185.34</v>
      </c>
      <c r="E30" s="30">
        <f>IFERROR(__xludf.DUMMYFUNCTION("""COMPUTED_VALUE"""),183.08)</f>
        <v>183.08</v>
      </c>
      <c r="F30" s="30">
        <f>IFERROR(__xludf.DUMMYFUNCTION("""COMPUTED_VALUE"""),183.77)</f>
        <v>183.77</v>
      </c>
      <c r="G30" s="31">
        <f>IFERROR(__xludf.DUMMYFUNCTION("""COMPUTED_VALUE"""),2.1152555E7)</f>
        <v>21152555</v>
      </c>
      <c r="H30" s="10"/>
    </row>
    <row r="31" ht="17.25" customHeight="1">
      <c r="A31" s="10"/>
      <c r="B31" s="29">
        <f>IFERROR(__xludf.DUMMYFUNCTION("""COMPUTED_VALUE"""),45855.66666666667)</f>
        <v>45855.66667</v>
      </c>
      <c r="C31" s="30">
        <f>IFERROR(__xludf.DUMMYFUNCTION("""COMPUTED_VALUE"""),183.12)</f>
        <v>183.12</v>
      </c>
      <c r="D31" s="30">
        <f>IFERROR(__xludf.DUMMYFUNCTION("""COMPUTED_VALUE"""),185.19)</f>
        <v>185.19</v>
      </c>
      <c r="E31" s="30">
        <f>IFERROR(__xludf.DUMMYFUNCTION("""COMPUTED_VALUE"""),181.5)</f>
        <v>181.5</v>
      </c>
      <c r="F31" s="30">
        <f>IFERROR(__xludf.DUMMYFUNCTION("""COMPUTED_VALUE"""),184.7)</f>
        <v>184.7</v>
      </c>
      <c r="G31" s="31">
        <f>IFERROR(__xludf.DUMMYFUNCTION("""COMPUTED_VALUE"""),2.165437E7)</f>
        <v>21654370</v>
      </c>
      <c r="H31" s="10"/>
    </row>
    <row r="32" ht="17.25" customHeight="1">
      <c r="A32" s="10"/>
      <c r="B32" s="29">
        <f>IFERROR(__xludf.DUMMYFUNCTION("""COMPUTED_VALUE"""),45856.66666666667)</f>
        <v>45856.66667</v>
      </c>
      <c r="C32" s="30">
        <f>IFERROR(__xludf.DUMMYFUNCTION("""COMPUTED_VALUE"""),186.62)</f>
        <v>186.62</v>
      </c>
      <c r="D32" s="30">
        <f>IFERROR(__xludf.DUMMYFUNCTION("""COMPUTED_VALUE"""),187.36)</f>
        <v>187.36</v>
      </c>
      <c r="E32" s="30">
        <f>IFERROR(__xludf.DUMMYFUNCTION("""COMPUTED_VALUE"""),184.73)</f>
        <v>184.73</v>
      </c>
      <c r="F32" s="30">
        <f>IFERROR(__xludf.DUMMYFUNCTION("""COMPUTED_VALUE"""),185.94)</f>
        <v>185.94</v>
      </c>
      <c r="G32" s="31">
        <f>IFERROR(__xludf.DUMMYFUNCTION("""COMPUTED_VALUE"""),2.1033397E7)</f>
        <v>21033397</v>
      </c>
      <c r="H32" s="10"/>
    </row>
    <row r="33" ht="17.25" customHeight="1">
      <c r="A33" s="10"/>
      <c r="B33" s="29">
        <f>IFERROR(__xludf.DUMMYFUNCTION("""COMPUTED_VALUE"""),45859.66666666667)</f>
        <v>45859.66667</v>
      </c>
      <c r="C33" s="30">
        <f>IFERROR(__xludf.DUMMYFUNCTION("""COMPUTED_VALUE"""),187.1)</f>
        <v>187.1</v>
      </c>
      <c r="D33" s="30">
        <f>IFERROR(__xludf.DUMMYFUNCTION("""COMPUTED_VALUE"""),191.26)</f>
        <v>191.26</v>
      </c>
      <c r="E33" s="30">
        <f>IFERROR(__xludf.DUMMYFUNCTION("""COMPUTED_VALUE"""),187.05)</f>
        <v>187.05</v>
      </c>
      <c r="F33" s="30">
        <f>IFERROR(__xludf.DUMMYFUNCTION("""COMPUTED_VALUE"""),191.15)</f>
        <v>191.15</v>
      </c>
      <c r="G33" s="31">
        <f>IFERROR(__xludf.DUMMYFUNCTION("""COMPUTED_VALUE"""),2.4664994E7)</f>
        <v>24664994</v>
      </c>
      <c r="H33" s="10"/>
    </row>
    <row r="34" ht="17.25" customHeight="1">
      <c r="A34" s="10"/>
      <c r="B34" s="29">
        <f>IFERROR(__xludf.DUMMYFUNCTION("""COMPUTED_VALUE"""),45860.66666666667)</f>
        <v>45860.66667</v>
      </c>
      <c r="C34" s="30">
        <f>IFERROR(__xludf.DUMMYFUNCTION("""COMPUTED_VALUE"""),192.42)</f>
        <v>192.42</v>
      </c>
      <c r="D34" s="30">
        <f>IFERROR(__xludf.DUMMYFUNCTION("""COMPUTED_VALUE"""),193.36)</f>
        <v>193.36</v>
      </c>
      <c r="E34" s="30">
        <f>IFERROR(__xludf.DUMMYFUNCTION("""COMPUTED_VALUE"""),188.5)</f>
        <v>188.5</v>
      </c>
      <c r="F34" s="30">
        <f>IFERROR(__xludf.DUMMYFUNCTION("""COMPUTED_VALUE"""),192.11)</f>
        <v>192.11</v>
      </c>
      <c r="G34" s="31">
        <f>IFERROR(__xludf.DUMMYFUNCTION("""COMPUTED_VALUE"""),2.6212909E7)</f>
        <v>26212909</v>
      </c>
      <c r="H34" s="10"/>
    </row>
    <row r="35" ht="17.25" customHeight="1">
      <c r="A35" s="10"/>
      <c r="B35" s="29">
        <f>IFERROR(__xludf.DUMMYFUNCTION("""COMPUTED_VALUE"""),45861.66666666667)</f>
        <v>45861.66667</v>
      </c>
      <c r="C35" s="30">
        <f>IFERROR(__xludf.DUMMYFUNCTION("""COMPUTED_VALUE"""),192.36)</f>
        <v>192.36</v>
      </c>
      <c r="D35" s="30">
        <f>IFERROR(__xludf.DUMMYFUNCTION("""COMPUTED_VALUE"""),193.36)</f>
        <v>193.36</v>
      </c>
      <c r="E35" s="30">
        <f>IFERROR(__xludf.DUMMYFUNCTION("""COMPUTED_VALUE"""),190.18)</f>
        <v>190.18</v>
      </c>
      <c r="F35" s="30">
        <f>IFERROR(__xludf.DUMMYFUNCTION("""COMPUTED_VALUE"""),191.51)</f>
        <v>191.51</v>
      </c>
      <c r="G35" s="31">
        <f>IFERROR(__xludf.DUMMYFUNCTION("""COMPUTED_VALUE"""),3.4068129E7)</f>
        <v>34068129</v>
      </c>
      <c r="H35" s="10"/>
    </row>
    <row r="36" ht="17.25" customHeight="1">
      <c r="A36" s="10"/>
      <c r="B36" s="29">
        <f>IFERROR(__xludf.DUMMYFUNCTION("""COMPUTED_VALUE"""),45862.66666666667)</f>
        <v>45862.66667</v>
      </c>
      <c r="C36" s="30">
        <f>IFERROR(__xludf.DUMMYFUNCTION("""COMPUTED_VALUE"""),198.11)</f>
        <v>198.11</v>
      </c>
      <c r="D36" s="30">
        <f>IFERROR(__xludf.DUMMYFUNCTION("""COMPUTED_VALUE"""),198.97)</f>
        <v>198.97</v>
      </c>
      <c r="E36" s="30">
        <f>IFERROR(__xludf.DUMMYFUNCTION("""COMPUTED_VALUE"""),191.95)</f>
        <v>191.95</v>
      </c>
      <c r="F36" s="30">
        <f>IFERROR(__xludf.DUMMYFUNCTION("""COMPUTED_VALUE"""),193.2)</f>
        <v>193.2</v>
      </c>
      <c r="G36" s="31">
        <f>IFERROR(__xludf.DUMMYFUNCTION("""COMPUTED_VALUE"""),4.525206E7)</f>
        <v>45252060</v>
      </c>
      <c r="H36" s="10"/>
    </row>
    <row r="37" ht="17.25" customHeight="1">
      <c r="A37" s="10"/>
      <c r="B37" s="29">
        <f>IFERROR(__xludf.DUMMYFUNCTION("""COMPUTED_VALUE"""),45863.66666666667)</f>
        <v>45863.66667</v>
      </c>
      <c r="C37" s="30">
        <f>IFERROR(__xludf.DUMMYFUNCTION("""COMPUTED_VALUE"""),192.93)</f>
        <v>192.93</v>
      </c>
      <c r="D37" s="30">
        <f>IFERROR(__xludf.DUMMYFUNCTION("""COMPUTED_VALUE"""),195.28)</f>
        <v>195.28</v>
      </c>
      <c r="E37" s="30">
        <f>IFERROR(__xludf.DUMMYFUNCTION("""COMPUTED_VALUE"""),192.13)</f>
        <v>192.13</v>
      </c>
      <c r="F37" s="30">
        <f>IFERROR(__xludf.DUMMYFUNCTION("""COMPUTED_VALUE"""),194.08)</f>
        <v>194.08</v>
      </c>
      <c r="G37" s="31">
        <f>IFERROR(__xludf.DUMMYFUNCTION("""COMPUTED_VALUE"""),3.1101847E7)</f>
        <v>31101847</v>
      </c>
      <c r="H37" s="10"/>
    </row>
    <row r="38" ht="17.25" customHeight="1">
      <c r="A38" s="10"/>
      <c r="B38" s="29">
        <f>IFERROR(__xludf.DUMMYFUNCTION("""COMPUTED_VALUE"""),45866.66666666667)</f>
        <v>45866.66667</v>
      </c>
      <c r="C38" s="30">
        <f>IFERROR(__xludf.DUMMYFUNCTION("""COMPUTED_VALUE"""),194.41)</f>
        <v>194.41</v>
      </c>
      <c r="D38" s="30">
        <f>IFERROR(__xludf.DUMMYFUNCTION("""COMPUTED_VALUE"""),194.82)</f>
        <v>194.82</v>
      </c>
      <c r="E38" s="30">
        <f>IFERROR(__xludf.DUMMYFUNCTION("""COMPUTED_VALUE"""),191.86)</f>
        <v>191.86</v>
      </c>
      <c r="F38" s="30">
        <f>IFERROR(__xludf.DUMMYFUNCTION("""COMPUTED_VALUE"""),193.42)</f>
        <v>193.42</v>
      </c>
      <c r="G38" s="31">
        <f>IFERROR(__xludf.DUMMYFUNCTION("""COMPUTED_VALUE"""),2.5553546E7)</f>
        <v>25553546</v>
      </c>
      <c r="H38" s="10"/>
    </row>
    <row r="39" ht="17.25" customHeight="1">
      <c r="A39" s="10"/>
      <c r="B39" s="29">
        <f>IFERROR(__xludf.DUMMYFUNCTION("""COMPUTED_VALUE"""),45867.66666666667)</f>
        <v>45867.66667</v>
      </c>
      <c r="C39" s="30">
        <f>IFERROR(__xludf.DUMMYFUNCTION("""COMPUTED_VALUE"""),193.3)</f>
        <v>193.3</v>
      </c>
      <c r="D39" s="30">
        <f>IFERROR(__xludf.DUMMYFUNCTION("""COMPUTED_VALUE"""),196.66)</f>
        <v>196.66</v>
      </c>
      <c r="E39" s="30">
        <f>IFERROR(__xludf.DUMMYFUNCTION("""COMPUTED_VALUE"""),192.99)</f>
        <v>192.99</v>
      </c>
      <c r="F39" s="30">
        <f>IFERROR(__xludf.DUMMYFUNCTION("""COMPUTED_VALUE"""),196.43)</f>
        <v>196.43</v>
      </c>
      <c r="G39" s="31">
        <f>IFERROR(__xludf.DUMMYFUNCTION("""COMPUTED_VALUE"""),3.1891598E7)</f>
        <v>31891598</v>
      </c>
      <c r="H39" s="10"/>
    </row>
    <row r="40" ht="17.25" customHeight="1">
      <c r="A40" s="10"/>
      <c r="B40" s="29">
        <f>IFERROR(__xludf.DUMMYFUNCTION("""COMPUTED_VALUE"""),45868.66666666667)</f>
        <v>45868.66667</v>
      </c>
      <c r="C40" s="30">
        <f>IFERROR(__xludf.DUMMYFUNCTION("""COMPUTED_VALUE"""),196.3)</f>
        <v>196.3</v>
      </c>
      <c r="D40" s="30">
        <f>IFERROR(__xludf.DUMMYFUNCTION("""COMPUTED_VALUE"""),198.48)</f>
        <v>198.48</v>
      </c>
      <c r="E40" s="30">
        <f>IFERROR(__xludf.DUMMYFUNCTION("""COMPUTED_VALUE"""),195.56)</f>
        <v>195.56</v>
      </c>
      <c r="F40" s="30">
        <f>IFERROR(__xludf.DUMMYFUNCTION("""COMPUTED_VALUE"""),197.44)</f>
        <v>197.44</v>
      </c>
      <c r="G40" s="31">
        <f>IFERROR(__xludf.DUMMYFUNCTION("""COMPUTED_VALUE"""),2.1150522E7)</f>
        <v>21150522</v>
      </c>
      <c r="H40" s="10"/>
    </row>
    <row r="41" ht="17.25" customHeight="1">
      <c r="A41" s="10"/>
      <c r="B41" s="29">
        <f>IFERROR(__xludf.DUMMYFUNCTION("""COMPUTED_VALUE"""),45869.66666666667)</f>
        <v>45869.66667</v>
      </c>
      <c r="C41" s="30">
        <f>IFERROR(__xludf.DUMMYFUNCTION("""COMPUTED_VALUE"""),196.6)</f>
        <v>196.6</v>
      </c>
      <c r="D41" s="30">
        <f>IFERROR(__xludf.DUMMYFUNCTION("""COMPUTED_VALUE"""),196.83)</f>
        <v>196.83</v>
      </c>
      <c r="E41" s="30">
        <f>IFERROR(__xludf.DUMMYFUNCTION("""COMPUTED_VALUE"""),192.08)</f>
        <v>192.08</v>
      </c>
      <c r="F41" s="30">
        <f>IFERROR(__xludf.DUMMYFUNCTION("""COMPUTED_VALUE"""),192.86)</f>
        <v>192.86</v>
      </c>
      <c r="G41" s="31">
        <f>IFERROR(__xludf.DUMMYFUNCTION("""COMPUTED_VALUE"""),2.7852019E7)</f>
        <v>27852019</v>
      </c>
      <c r="H41" s="10"/>
    </row>
    <row r="42" ht="17.25" customHeight="1">
      <c r="A42" s="10"/>
      <c r="B42" s="29">
        <f>IFERROR(__xludf.DUMMYFUNCTION("""COMPUTED_VALUE"""),45870.66666666667)</f>
        <v>45870.66667</v>
      </c>
      <c r="C42" s="30">
        <f>IFERROR(__xludf.DUMMYFUNCTION("""COMPUTED_VALUE"""),189.78)</f>
        <v>189.78</v>
      </c>
      <c r="D42" s="30">
        <f>IFERROR(__xludf.DUMMYFUNCTION("""COMPUTED_VALUE"""),191.62)</f>
        <v>191.62</v>
      </c>
      <c r="E42" s="30">
        <f>IFERROR(__xludf.DUMMYFUNCTION("""COMPUTED_VALUE"""),188.7)</f>
        <v>188.7</v>
      </c>
      <c r="F42" s="30">
        <f>IFERROR(__xludf.DUMMYFUNCTION("""COMPUTED_VALUE"""),189.95)</f>
        <v>189.95</v>
      </c>
      <c r="G42" s="31">
        <f>IFERROR(__xludf.DUMMYFUNCTION("""COMPUTED_VALUE"""),2.1236711E7)</f>
        <v>21236711</v>
      </c>
      <c r="H42" s="10"/>
    </row>
    <row r="43" ht="17.25" customHeight="1">
      <c r="A43" s="10"/>
      <c r="B43" s="29">
        <f>IFERROR(__xludf.DUMMYFUNCTION("""COMPUTED_VALUE"""),45873.66666666667)</f>
        <v>45873.66667</v>
      </c>
      <c r="C43" s="30">
        <f>IFERROR(__xludf.DUMMYFUNCTION("""COMPUTED_VALUE"""),191.18)</f>
        <v>191.18</v>
      </c>
      <c r="D43" s="30">
        <f>IFERROR(__xludf.DUMMYFUNCTION("""COMPUTED_VALUE"""),196.08)</f>
        <v>196.08</v>
      </c>
      <c r="E43" s="30">
        <f>IFERROR(__xludf.DUMMYFUNCTION("""COMPUTED_VALUE"""),190.92)</f>
        <v>190.92</v>
      </c>
      <c r="F43" s="30">
        <f>IFERROR(__xludf.DUMMYFUNCTION("""COMPUTED_VALUE"""),195.75)</f>
        <v>195.75</v>
      </c>
      <c r="G43" s="31">
        <f>IFERROR(__xludf.DUMMYFUNCTION("""COMPUTED_VALUE"""),2.338595E7)</f>
        <v>23385950</v>
      </c>
      <c r="H43" s="10"/>
    </row>
    <row r="44" ht="17.25" customHeight="1">
      <c r="A44" s="10"/>
      <c r="B44" s="29">
        <f>IFERROR(__xludf.DUMMYFUNCTION("""COMPUTED_VALUE"""),45874.66666666667)</f>
        <v>45874.66667</v>
      </c>
      <c r="C44" s="30">
        <f>IFERROR(__xludf.DUMMYFUNCTION("""COMPUTED_VALUE"""),195.55)</f>
        <v>195.55</v>
      </c>
      <c r="D44" s="30">
        <f>IFERROR(__xludf.DUMMYFUNCTION("""COMPUTED_VALUE"""),198.7)</f>
        <v>198.7</v>
      </c>
      <c r="E44" s="30">
        <f>IFERROR(__xludf.DUMMYFUNCTION("""COMPUTED_VALUE"""),194.68)</f>
        <v>194.68</v>
      </c>
      <c r="F44" s="30">
        <f>IFERROR(__xludf.DUMMYFUNCTION("""COMPUTED_VALUE"""),195.32)</f>
        <v>195.32</v>
      </c>
      <c r="G44" s="31">
        <f>IFERROR(__xludf.DUMMYFUNCTION("""COMPUTED_VALUE"""),1.9010151E7)</f>
        <v>19010151</v>
      </c>
      <c r="H44" s="10"/>
    </row>
    <row r="45" ht="17.25" customHeight="1">
      <c r="A45" s="10"/>
      <c r="B45" s="29">
        <f>IFERROR(__xludf.DUMMYFUNCTION("""COMPUTED_VALUE"""),45875.66666666667)</f>
        <v>45875.66667</v>
      </c>
      <c r="C45" s="30">
        <f>IFERROR(__xludf.DUMMYFUNCTION("""COMPUTED_VALUE"""),195.25)</f>
        <v>195.25</v>
      </c>
      <c r="D45" s="30">
        <f>IFERROR(__xludf.DUMMYFUNCTION("""COMPUTED_VALUE"""),197.38)</f>
        <v>197.38</v>
      </c>
      <c r="E45" s="30">
        <f>IFERROR(__xludf.DUMMYFUNCTION("""COMPUTED_VALUE"""),194.47)</f>
        <v>194.47</v>
      </c>
      <c r="F45" s="30">
        <f>IFERROR(__xludf.DUMMYFUNCTION("""COMPUTED_VALUE"""),196.92)</f>
        <v>196.92</v>
      </c>
      <c r="G45" s="31">
        <f>IFERROR(__xludf.DUMMYFUNCTION("""COMPUTED_VALUE"""),1.5383679E7)</f>
        <v>15383679</v>
      </c>
      <c r="H45" s="10"/>
    </row>
    <row r="46" ht="17.25" customHeight="1">
      <c r="A46" s="10"/>
      <c r="B46" s="29">
        <f>IFERROR(__xludf.DUMMYFUNCTION("""COMPUTED_VALUE"""),45876.66666666667)</f>
        <v>45876.66667</v>
      </c>
      <c r="C46" s="30">
        <f>IFERROR(__xludf.DUMMYFUNCTION("""COMPUTED_VALUE"""),197.71)</f>
        <v>197.71</v>
      </c>
      <c r="D46" s="30">
        <f>IFERROR(__xludf.DUMMYFUNCTION("""COMPUTED_VALUE"""),198.37)</f>
        <v>198.37</v>
      </c>
      <c r="E46" s="30">
        <f>IFERROR(__xludf.DUMMYFUNCTION("""COMPUTED_VALUE"""),195.22)</f>
        <v>195.22</v>
      </c>
      <c r="F46" s="30">
        <f>IFERROR(__xludf.DUMMYFUNCTION("""COMPUTED_VALUE"""),197.28)</f>
        <v>197.28</v>
      </c>
      <c r="G46" s="31">
        <f>IFERROR(__xludf.DUMMYFUNCTION("""COMPUTED_VALUE"""),1.466055E7)</f>
        <v>14660550</v>
      </c>
      <c r="H46" s="10"/>
    </row>
    <row r="47" ht="17.25" customHeight="1">
      <c r="A47" s="10"/>
      <c r="B47" s="29">
        <f>IFERROR(__xludf.DUMMYFUNCTION("""COMPUTED_VALUE"""),45877.66666666667)</f>
        <v>45877.66667</v>
      </c>
      <c r="C47" s="30">
        <f>IFERROR(__xludf.DUMMYFUNCTION("""COMPUTED_VALUE"""),197.98)</f>
        <v>197.98</v>
      </c>
      <c r="D47" s="30">
        <f>IFERROR(__xludf.DUMMYFUNCTION("""COMPUTED_VALUE"""),203.43)</f>
        <v>203.43</v>
      </c>
      <c r="E47" s="30">
        <f>IFERROR(__xludf.DUMMYFUNCTION("""COMPUTED_VALUE"""),197.9)</f>
        <v>197.9</v>
      </c>
      <c r="F47" s="30">
        <f>IFERROR(__xludf.DUMMYFUNCTION("""COMPUTED_VALUE"""),202.09)</f>
        <v>202.09</v>
      </c>
      <c r="G47" s="31">
        <f>IFERROR(__xludf.DUMMYFUNCTION("""COMPUTED_VALUE"""),2.4379909E7)</f>
        <v>24379909</v>
      </c>
      <c r="H47" s="10"/>
    </row>
    <row r="48" ht="17.25" customHeight="1">
      <c r="A48" s="10"/>
      <c r="B48" s="29">
        <f>IFERROR(__xludf.DUMMYFUNCTION("""COMPUTED_VALUE"""),45880.66666666667)</f>
        <v>45880.66667</v>
      </c>
      <c r="C48" s="30">
        <f>IFERROR(__xludf.DUMMYFUNCTION("""COMPUTED_VALUE"""),201.56)</f>
        <v>201.56</v>
      </c>
      <c r="D48" s="30">
        <f>IFERROR(__xludf.DUMMYFUNCTION("""COMPUTED_VALUE"""),202.16)</f>
        <v>202.16</v>
      </c>
      <c r="E48" s="30">
        <f>IFERROR(__xludf.DUMMYFUNCTION("""COMPUTED_VALUE"""),199.8)</f>
        <v>199.8</v>
      </c>
      <c r="F48" s="30">
        <f>IFERROR(__xludf.DUMMYFUNCTION("""COMPUTED_VALUE"""),201.63)</f>
        <v>201.63</v>
      </c>
      <c r="G48" s="31">
        <f>IFERROR(__xludf.DUMMYFUNCTION("""COMPUTED_VALUE"""),1.6690235E7)</f>
        <v>16690235</v>
      </c>
      <c r="H48" s="10"/>
    </row>
    <row r="49" ht="17.25" customHeight="1">
      <c r="A49" s="10"/>
      <c r="B49" s="29">
        <f>IFERROR(__xludf.DUMMYFUNCTION("""COMPUTED_VALUE"""),45881.66666666667)</f>
        <v>45881.66667</v>
      </c>
      <c r="C49" s="30">
        <f>IFERROR(__xludf.DUMMYFUNCTION("""COMPUTED_VALUE"""),202.1)</f>
        <v>202.1</v>
      </c>
      <c r="D49" s="30">
        <f>IFERROR(__xludf.DUMMYFUNCTION("""COMPUTED_VALUE"""),205.13)</f>
        <v>205.13</v>
      </c>
      <c r="E49" s="30">
        <f>IFERROR(__xludf.DUMMYFUNCTION("""COMPUTED_VALUE"""),201.4)</f>
        <v>201.4</v>
      </c>
      <c r="F49" s="30">
        <f>IFERROR(__xludf.DUMMYFUNCTION("""COMPUTED_VALUE"""),204.16)</f>
        <v>204.16</v>
      </c>
      <c r="G49" s="31">
        <f>IFERROR(__xludf.DUMMYFUNCTION("""COMPUTED_VALUE"""),1.9871996E7)</f>
        <v>19871996</v>
      </c>
      <c r="H49" s="10"/>
    </row>
    <row r="50" ht="17.25" customHeight="1">
      <c r="A50" s="10"/>
      <c r="B50" s="29">
        <f>IFERROR(__xludf.DUMMYFUNCTION("""COMPUTED_VALUE"""),45882.66666666667)</f>
        <v>45882.66667</v>
      </c>
      <c r="C50" s="30">
        <f>IFERROR(__xludf.DUMMYFUNCTION("""COMPUTED_VALUE"""),204.98)</f>
        <v>204.98</v>
      </c>
      <c r="D50" s="30">
        <f>IFERROR(__xludf.DUMMYFUNCTION("""COMPUTED_VALUE"""),205.43)</f>
        <v>205.43</v>
      </c>
      <c r="E50" s="30">
        <f>IFERROR(__xludf.DUMMYFUNCTION("""COMPUTED_VALUE"""),198.64)</f>
        <v>198.64</v>
      </c>
      <c r="F50" s="30">
        <f>IFERROR(__xludf.DUMMYFUNCTION("""COMPUTED_VALUE"""),203.03)</f>
        <v>203.03</v>
      </c>
      <c r="G50" s="31">
        <f>IFERROR(__xludf.DUMMYFUNCTION("""COMPUTED_VALUE"""),1.9573041E7)</f>
        <v>19573041</v>
      </c>
      <c r="H50" s="10"/>
    </row>
    <row r="51" ht="17.25" customHeight="1">
      <c r="A51" s="10"/>
      <c r="B51" s="29">
        <f>IFERROR(__xludf.DUMMYFUNCTION("""COMPUTED_VALUE"""),45883.66666666667)</f>
        <v>45883.66667</v>
      </c>
      <c r="C51" s="30">
        <f>IFERROR(__xludf.DUMMYFUNCTION("""COMPUTED_VALUE"""),202.56)</f>
        <v>202.56</v>
      </c>
      <c r="D51" s="30">
        <f>IFERROR(__xludf.DUMMYFUNCTION("""COMPUTED_VALUE"""),205.42)</f>
        <v>205.42</v>
      </c>
      <c r="E51" s="30">
        <f>IFERROR(__xludf.DUMMYFUNCTION("""COMPUTED_VALUE"""),202.32)</f>
        <v>202.32</v>
      </c>
      <c r="F51" s="30">
        <f>IFERROR(__xludf.DUMMYFUNCTION("""COMPUTED_VALUE"""),203.82)</f>
        <v>203.82</v>
      </c>
      <c r="G51" s="31">
        <f>IFERROR(__xludf.DUMMYFUNCTION("""COMPUTED_VALUE"""),1.7777145E7)</f>
        <v>17777145</v>
      </c>
      <c r="H51" s="10"/>
    </row>
    <row r="52" ht="17.25" customHeight="1">
      <c r="A52" s="10"/>
      <c r="B52" s="29">
        <f>IFERROR(__xludf.DUMMYFUNCTION("""COMPUTED_VALUE"""),45884.66666666667)</f>
        <v>45884.66667</v>
      </c>
      <c r="C52" s="30">
        <f>IFERROR(__xludf.DUMMYFUNCTION("""COMPUTED_VALUE"""),204.72)</f>
        <v>204.72</v>
      </c>
      <c r="D52" s="30">
        <f>IFERROR(__xludf.DUMMYFUNCTION("""COMPUTED_VALUE"""),207.33)</f>
        <v>207.33</v>
      </c>
      <c r="E52" s="30">
        <f>IFERROR(__xludf.DUMMYFUNCTION("""COMPUTED_VALUE"""),202.09)</f>
        <v>202.09</v>
      </c>
      <c r="F52" s="30">
        <f>IFERROR(__xludf.DUMMYFUNCTION("""COMPUTED_VALUE"""),204.91)</f>
        <v>204.91</v>
      </c>
      <c r="G52" s="31">
        <f>IFERROR(__xludf.DUMMYFUNCTION("""COMPUTED_VALUE"""),2.111138E7)</f>
        <v>21111380</v>
      </c>
      <c r="H52" s="10"/>
    </row>
    <row r="53" ht="17.25" customHeight="1">
      <c r="A53" s="10"/>
      <c r="B53" s="29">
        <f>IFERROR(__xludf.DUMMYFUNCTION("""COMPUTED_VALUE"""),45887.66666666667)</f>
        <v>45887.66667</v>
      </c>
      <c r="C53" s="30">
        <f>IFERROR(__xludf.DUMMYFUNCTION("""COMPUTED_VALUE"""),205.07)</f>
        <v>205.07</v>
      </c>
      <c r="D53" s="30">
        <f>IFERROR(__xludf.DUMMYFUNCTION("""COMPUTED_VALUE"""),206.14)</f>
        <v>206.14</v>
      </c>
      <c r="E53" s="30">
        <f>IFERROR(__xludf.DUMMYFUNCTION("""COMPUTED_VALUE"""),203.41)</f>
        <v>203.41</v>
      </c>
      <c r="F53" s="30">
        <f>IFERROR(__xludf.DUMMYFUNCTION("""COMPUTED_VALUE"""),204.29)</f>
        <v>204.29</v>
      </c>
      <c r="G53" s="31">
        <f>IFERROR(__xludf.DUMMYFUNCTION("""COMPUTED_VALUE"""),1.3000162E7)</f>
        <v>13000162</v>
      </c>
      <c r="H53" s="10"/>
    </row>
    <row r="54" ht="17.25" customHeight="1">
      <c r="A54" s="10"/>
      <c r="B54" s="29">
        <f>IFERROR(__xludf.DUMMYFUNCTION("""COMPUTED_VALUE"""),45888.66666666667)</f>
        <v>45888.66667</v>
      </c>
      <c r="C54" s="30">
        <f>IFERROR(__xludf.DUMMYFUNCTION("""COMPUTED_VALUE"""),203.91)</f>
        <v>203.91</v>
      </c>
      <c r="D54" s="30">
        <f>IFERROR(__xludf.DUMMYFUNCTION("""COMPUTED_VALUE"""),204.29)</f>
        <v>204.29</v>
      </c>
      <c r="E54" s="30">
        <f>IFERROR(__xludf.DUMMYFUNCTION("""COMPUTED_VALUE"""),200.93)</f>
        <v>200.93</v>
      </c>
      <c r="F54" s="30">
        <f>IFERROR(__xludf.DUMMYFUNCTION("""COMPUTED_VALUE"""),202.49)</f>
        <v>202.49</v>
      </c>
      <c r="G54" s="31">
        <f>IFERROR(__xludf.DUMMYFUNCTION("""COMPUTED_VALUE"""),1.3476582E7)</f>
        <v>13476582</v>
      </c>
      <c r="H54" s="10"/>
    </row>
    <row r="55" ht="17.25" customHeight="1">
      <c r="A55" s="10"/>
      <c r="B55" s="29">
        <f>IFERROR(__xludf.DUMMYFUNCTION("""COMPUTED_VALUE"""),45889.66666666667)</f>
        <v>45889.66667</v>
      </c>
      <c r="C55" s="30">
        <f>IFERROR(__xludf.DUMMYFUNCTION("""COMPUTED_VALUE"""),201.68)</f>
        <v>201.68</v>
      </c>
      <c r="D55" s="30">
        <f>IFERROR(__xludf.DUMMYFUNCTION("""COMPUTED_VALUE"""),202.17)</f>
        <v>202.17</v>
      </c>
      <c r="E55" s="30">
        <f>IFERROR(__xludf.DUMMYFUNCTION("""COMPUTED_VALUE"""),197.46)</f>
        <v>197.46</v>
      </c>
      <c r="F55" s="30">
        <f>IFERROR(__xludf.DUMMYFUNCTION("""COMPUTED_VALUE"""),200.19)</f>
        <v>200.19</v>
      </c>
      <c r="G55" s="31">
        <f>IFERROR(__xludf.DUMMYFUNCTION("""COMPUTED_VALUE"""),1.3971693E7)</f>
        <v>13971693</v>
      </c>
      <c r="H55" s="10"/>
    </row>
    <row r="56" ht="17.25" customHeight="1">
      <c r="A56" s="10"/>
      <c r="B56" s="29">
        <f>IFERROR(__xludf.DUMMYFUNCTION("""COMPUTED_VALUE"""),45890.66666666667)</f>
        <v>45890.66667</v>
      </c>
      <c r="C56" s="30">
        <f>IFERROR(__xludf.DUMMYFUNCTION("""COMPUTED_VALUE"""),200.72)</f>
        <v>200.72</v>
      </c>
      <c r="D56" s="30">
        <f>IFERROR(__xludf.DUMMYFUNCTION("""COMPUTED_VALUE"""),203.36)</f>
        <v>203.36</v>
      </c>
      <c r="E56" s="30">
        <f>IFERROR(__xludf.DUMMYFUNCTION("""COMPUTED_VALUE"""),200.4)</f>
        <v>200.4</v>
      </c>
      <c r="F56" s="30">
        <f>IFERROR(__xludf.DUMMYFUNCTION("""COMPUTED_VALUE"""),200.62)</f>
        <v>200.62</v>
      </c>
      <c r="G56" s="31">
        <f>IFERROR(__xludf.DUMMYFUNCTION("""COMPUTED_VALUE"""),1.176891E7)</f>
        <v>11768910</v>
      </c>
      <c r="H56" s="10"/>
    </row>
    <row r="57" ht="17.25" customHeight="1">
      <c r="A57" s="10"/>
      <c r="B57" s="29">
        <f>IFERROR(__xludf.DUMMYFUNCTION("""COMPUTED_VALUE"""),45891.66666666667)</f>
        <v>45891.66667</v>
      </c>
      <c r="C57" s="30">
        <f>IFERROR(__xludf.DUMMYFUNCTION("""COMPUTED_VALUE"""),203.96)</f>
        <v>203.96</v>
      </c>
      <c r="D57" s="30">
        <f>IFERROR(__xludf.DUMMYFUNCTION("""COMPUTED_VALUE"""),209.23)</f>
        <v>209.23</v>
      </c>
      <c r="E57" s="30">
        <f>IFERROR(__xludf.DUMMYFUNCTION("""COMPUTED_VALUE"""),202.13)</f>
        <v>202.13</v>
      </c>
      <c r="F57" s="30">
        <f>IFERROR(__xludf.DUMMYFUNCTION("""COMPUTED_VALUE"""),206.72)</f>
        <v>206.72</v>
      </c>
      <c r="G57" s="31">
        <f>IFERROR(__xludf.DUMMYFUNCTION("""COMPUTED_VALUE"""),2.5723734E7)</f>
        <v>25723734</v>
      </c>
      <c r="H57" s="10"/>
    </row>
    <row r="58" ht="17.25" customHeight="1">
      <c r="A58" s="10"/>
      <c r="B58" s="29">
        <f>IFERROR(__xludf.DUMMYFUNCTION("""COMPUTED_VALUE"""),45894.66666666667)</f>
        <v>45894.66667</v>
      </c>
      <c r="C58" s="30">
        <f>IFERROR(__xludf.DUMMYFUNCTION("""COMPUTED_VALUE"""),207.0)</f>
        <v>207</v>
      </c>
      <c r="D58" s="30">
        <f>IFERROR(__xludf.DUMMYFUNCTION("""COMPUTED_VALUE"""),211.09)</f>
        <v>211.09</v>
      </c>
      <c r="E58" s="30">
        <f>IFERROR(__xludf.DUMMYFUNCTION("""COMPUTED_VALUE"""),205.95)</f>
        <v>205.95</v>
      </c>
      <c r="F58" s="30">
        <f>IFERROR(__xludf.DUMMYFUNCTION("""COMPUTED_VALUE"""),209.16)</f>
        <v>209.16</v>
      </c>
      <c r="G58" s="31">
        <f>IFERROR(__xludf.DUMMYFUNCTION("""COMPUTED_VALUE"""),2.2788806E7)</f>
        <v>22788806</v>
      </c>
      <c r="H58" s="10"/>
    </row>
    <row r="59" ht="17.25" customHeight="1">
      <c r="A59" s="10"/>
      <c r="B59" s="29">
        <f>IFERROR(__xludf.DUMMYFUNCTION("""COMPUTED_VALUE"""),45895.66666666667)</f>
        <v>45895.66667</v>
      </c>
      <c r="C59" s="30">
        <f>IFERROR(__xludf.DUMMYFUNCTION("""COMPUTED_VALUE"""),208.37)</f>
        <v>208.37</v>
      </c>
      <c r="D59" s="30">
        <f>IFERROR(__xludf.DUMMYFUNCTION("""COMPUTED_VALUE"""),208.46)</f>
        <v>208.46</v>
      </c>
      <c r="E59" s="30">
        <f>IFERROR(__xludf.DUMMYFUNCTION("""COMPUTED_VALUE"""),206.45)</f>
        <v>206.45</v>
      </c>
      <c r="F59" s="30">
        <f>IFERROR(__xludf.DUMMYFUNCTION("""COMPUTED_VALUE"""),207.95)</f>
        <v>207.95</v>
      </c>
      <c r="G59" s="31">
        <f>IFERROR(__xludf.DUMMYFUNCTION("""COMPUTED_VALUE"""),2.3050971E7)</f>
        <v>23050971</v>
      </c>
      <c r="H59" s="10"/>
    </row>
    <row r="60" ht="17.25" customHeight="1">
      <c r="A60" s="10"/>
      <c r="B60" s="29">
        <f>IFERROR(__xludf.DUMMYFUNCTION("""COMPUTED_VALUE"""),45896.66666666667)</f>
        <v>45896.66667</v>
      </c>
      <c r="C60" s="30">
        <f>IFERROR(__xludf.DUMMYFUNCTION("""COMPUTED_VALUE"""),206.46)</f>
        <v>206.46</v>
      </c>
      <c r="D60" s="30">
        <f>IFERROR(__xludf.DUMMYFUNCTION("""COMPUTED_VALUE"""),209.57)</f>
        <v>209.57</v>
      </c>
      <c r="E60" s="30">
        <f>IFERROR(__xludf.DUMMYFUNCTION("""COMPUTED_VALUE"""),206.39)</f>
        <v>206.39</v>
      </c>
      <c r="F60" s="30">
        <f>IFERROR(__xludf.DUMMYFUNCTION("""COMPUTED_VALUE"""),208.21)</f>
        <v>208.21</v>
      </c>
      <c r="G60" s="31">
        <f>IFERROR(__xludf.DUMMYFUNCTION("""COMPUTED_VALUE"""),1.5248979E7)</f>
        <v>15248979</v>
      </c>
      <c r="H60" s="10"/>
    </row>
    <row r="61" ht="17.25" customHeight="1">
      <c r="A61" s="10"/>
      <c r="B61" s="29">
        <f>IFERROR(__xludf.DUMMYFUNCTION("""COMPUTED_VALUE"""),45897.66666666667)</f>
        <v>45897.66667</v>
      </c>
      <c r="C61" s="30">
        <f>IFERROR(__xludf.DUMMYFUNCTION("""COMPUTED_VALUE"""),207.84)</f>
        <v>207.84</v>
      </c>
      <c r="D61" s="30">
        <f>IFERROR(__xludf.DUMMYFUNCTION("""COMPUTED_VALUE"""),212.9)</f>
        <v>212.9</v>
      </c>
      <c r="E61" s="30">
        <f>IFERROR(__xludf.DUMMYFUNCTION("""COMPUTED_VALUE"""),207.6)</f>
        <v>207.6</v>
      </c>
      <c r="F61" s="30">
        <f>IFERROR(__xludf.DUMMYFUNCTION("""COMPUTED_VALUE"""),212.37)</f>
        <v>212.37</v>
      </c>
      <c r="G61" s="31">
        <f>IFERROR(__xludf.DUMMYFUNCTION("""COMPUTED_VALUE"""),2.0915705E7)</f>
        <v>20915705</v>
      </c>
      <c r="H61" s="10"/>
    </row>
    <row r="62" ht="17.25" customHeight="1">
      <c r="A62" s="10"/>
      <c r="B62" s="29">
        <f>IFERROR(__xludf.DUMMYFUNCTION("""COMPUTED_VALUE"""),45898.66666666667)</f>
        <v>45898.66667</v>
      </c>
      <c r="C62" s="30">
        <f>IFERROR(__xludf.DUMMYFUNCTION("""COMPUTED_VALUE"""),211.27)</f>
        <v>211.27</v>
      </c>
      <c r="D62" s="30">
        <f>IFERROR(__xludf.DUMMYFUNCTION("""COMPUTED_VALUE"""),215.34)</f>
        <v>215.34</v>
      </c>
      <c r="E62" s="30">
        <f>IFERROR(__xludf.DUMMYFUNCTION("""COMPUTED_VALUE"""),210.97)</f>
        <v>210.97</v>
      </c>
      <c r="F62" s="30">
        <f>IFERROR(__xludf.DUMMYFUNCTION("""COMPUTED_VALUE"""),213.53)</f>
        <v>213.53</v>
      </c>
      <c r="G62" s="31">
        <f>IFERROR(__xludf.DUMMYFUNCTION("""COMPUTED_VALUE"""),2.4682224E7)</f>
        <v>24682224</v>
      </c>
      <c r="H62" s="10"/>
    </row>
    <row r="63" ht="17.25" customHeight="1">
      <c r="A63" s="10"/>
      <c r="B63" s="29">
        <f>IFERROR(__xludf.DUMMYFUNCTION("""COMPUTED_VALUE"""),45902.66666666667)</f>
        <v>45902.66667</v>
      </c>
      <c r="C63" s="30">
        <f>IFERROR(__xludf.DUMMYFUNCTION("""COMPUTED_VALUE"""),208.99)</f>
        <v>208.99</v>
      </c>
      <c r="D63" s="30">
        <f>IFERROR(__xludf.DUMMYFUNCTION("""COMPUTED_VALUE"""),212.37)</f>
        <v>212.37</v>
      </c>
      <c r="E63" s="30">
        <f>IFERROR(__xludf.DUMMYFUNCTION("""COMPUTED_VALUE"""),206.96)</f>
        <v>206.96</v>
      </c>
      <c r="F63" s="30">
        <f>IFERROR(__xludf.DUMMYFUNCTION("""COMPUTED_VALUE"""),211.99)</f>
        <v>211.99</v>
      </c>
      <c r="G63" s="31">
        <f>IFERROR(__xludf.DUMMYFUNCTION("""COMPUTED_VALUE"""),2.8900069E7)</f>
        <v>28900069</v>
      </c>
      <c r="H63" s="10"/>
    </row>
    <row r="64" ht="17.25" customHeight="1">
      <c r="A64" s="10"/>
      <c r="B64" s="29">
        <f>IFERROR(__xludf.DUMMYFUNCTION("""COMPUTED_VALUE"""),45903.66666666667)</f>
        <v>45903.66667</v>
      </c>
      <c r="C64" s="30">
        <f>IFERROR(__xludf.DUMMYFUNCTION("""COMPUTED_VALUE"""),226.48)</f>
        <v>226.48</v>
      </c>
      <c r="D64" s="30">
        <f>IFERROR(__xludf.DUMMYFUNCTION("""COMPUTED_VALUE"""),231.8)</f>
        <v>231.8</v>
      </c>
      <c r="E64" s="30">
        <f>IFERROR(__xludf.DUMMYFUNCTION("""COMPUTED_VALUE"""),225.12)</f>
        <v>225.12</v>
      </c>
      <c r="F64" s="30">
        <f>IFERROR(__xludf.DUMMYFUNCTION("""COMPUTED_VALUE"""),231.1)</f>
        <v>231.1</v>
      </c>
      <c r="G64" s="31">
        <f>IFERROR(__xludf.DUMMYFUNCTION("""COMPUTED_VALUE"""),7.2250269E7)</f>
        <v>72250269</v>
      </c>
      <c r="H64" s="10"/>
    </row>
    <row r="65" ht="17.25" customHeight="1">
      <c r="A65" s="10"/>
      <c r="B65" s="29">
        <f>IFERROR(__xludf.DUMMYFUNCTION("""COMPUTED_VALUE"""),45904.66666666667)</f>
        <v>45904.66667</v>
      </c>
      <c r="C65" s="30">
        <f>IFERROR(__xludf.DUMMYFUNCTION("""COMPUTED_VALUE"""),230.16)</f>
        <v>230.16</v>
      </c>
      <c r="D65" s="30">
        <f>IFERROR(__xludf.DUMMYFUNCTION("""COMPUTED_VALUE"""),232.77)</f>
        <v>232.77</v>
      </c>
      <c r="E65" s="30">
        <f>IFERROR(__xludf.DUMMYFUNCTION("""COMPUTED_VALUE"""),226.76)</f>
        <v>226.76</v>
      </c>
      <c r="F65" s="30">
        <f>IFERROR(__xludf.DUMMYFUNCTION("""COMPUTED_VALUE"""),232.66)</f>
        <v>232.66</v>
      </c>
      <c r="G65" s="31">
        <f>IFERROR(__xludf.DUMMYFUNCTION("""COMPUTED_VALUE"""),3.2196009E7)</f>
        <v>32196009</v>
      </c>
      <c r="H65" s="10"/>
    </row>
    <row r="66" ht="17.25" customHeight="1">
      <c r="A66" s="10"/>
      <c r="B66" s="29">
        <f>IFERROR(__xludf.DUMMYFUNCTION("""COMPUTED_VALUE"""),45905.66666666667)</f>
        <v>45905.66667</v>
      </c>
      <c r="C66" s="30">
        <f>IFERROR(__xludf.DUMMYFUNCTION("""COMPUTED_VALUE"""),232.66)</f>
        <v>232.66</v>
      </c>
      <c r="D66" s="30">
        <f>IFERROR(__xludf.DUMMYFUNCTION("""COMPUTED_VALUE"""),236.13)</f>
        <v>236.13</v>
      </c>
      <c r="E66" s="30">
        <f>IFERROR(__xludf.DUMMYFUNCTION("""COMPUTED_VALUE"""),232.38)</f>
        <v>232.38</v>
      </c>
      <c r="F66" s="30">
        <f>IFERROR(__xludf.DUMMYFUNCTION("""COMPUTED_VALUE"""),235.17)</f>
        <v>235.17</v>
      </c>
      <c r="G66" s="31">
        <f>IFERROR(__xludf.DUMMYFUNCTION("""COMPUTED_VALUE"""),2.6127737E7)</f>
        <v>26127737</v>
      </c>
      <c r="H66" s="10"/>
    </row>
    <row r="67" ht="17.25" customHeight="1">
      <c r="A67" s="10"/>
      <c r="B67" s="29">
        <f>IFERROR(__xludf.DUMMYFUNCTION("""COMPUTED_VALUE"""),45908.66666666667)</f>
        <v>45908.66667</v>
      </c>
      <c r="C67" s="30">
        <f>IFERROR(__xludf.DUMMYFUNCTION("""COMPUTED_VALUE"""),235.79)</f>
        <v>235.79</v>
      </c>
      <c r="D67" s="30">
        <f>IFERROR(__xludf.DUMMYFUNCTION("""COMPUTED_VALUE"""),238.4)</f>
        <v>238.4</v>
      </c>
      <c r="E67" s="30">
        <f>IFERROR(__xludf.DUMMYFUNCTION("""COMPUTED_VALUE"""),233.73)</f>
        <v>233.73</v>
      </c>
      <c r="F67" s="30">
        <f>IFERROR(__xludf.DUMMYFUNCTION("""COMPUTED_VALUE"""),234.16)</f>
        <v>234.16</v>
      </c>
      <c r="G67" s="31">
        <f>IFERROR(__xludf.DUMMYFUNCTION("""COMPUTED_VALUE"""),2.3128799E7)</f>
        <v>23128799</v>
      </c>
      <c r="H67" s="10"/>
    </row>
    <row r="68" ht="17.25" customHeight="1">
      <c r="A68" s="10"/>
      <c r="B68" s="29">
        <f>IFERROR(__xludf.DUMMYFUNCTION("""COMPUTED_VALUE"""),45909.66666666667)</f>
        <v>45909.66667</v>
      </c>
      <c r="C68" s="30">
        <f>IFERROR(__xludf.DUMMYFUNCTION("""COMPUTED_VALUE"""),234.19)</f>
        <v>234.19</v>
      </c>
      <c r="D68" s="30">
        <f>IFERROR(__xludf.DUMMYFUNCTION("""COMPUTED_VALUE"""),240.59)</f>
        <v>240.59</v>
      </c>
      <c r="E68" s="30">
        <f>IFERROR(__xludf.DUMMYFUNCTION("""COMPUTED_VALUE"""),233.38)</f>
        <v>233.38</v>
      </c>
      <c r="F68" s="30">
        <f>IFERROR(__xludf.DUMMYFUNCTION("""COMPUTED_VALUE"""),239.94)</f>
        <v>239.94</v>
      </c>
      <c r="G68" s="31">
        <f>IFERROR(__xludf.DUMMYFUNCTION("""COMPUTED_VALUE"""),2.2854794E7)</f>
        <v>22854794</v>
      </c>
      <c r="H68" s="10"/>
    </row>
    <row r="69" ht="17.25" customHeight="1">
      <c r="A69" s="10"/>
      <c r="B69" s="29">
        <f>IFERROR(__xludf.DUMMYFUNCTION("""COMPUTED_VALUE"""),45910.66666666667)</f>
        <v>45910.66667</v>
      </c>
      <c r="C69" s="30">
        <f>IFERROR(__xludf.DUMMYFUNCTION("""COMPUTED_VALUE"""),239.25)</f>
        <v>239.25</v>
      </c>
      <c r="D69" s="30">
        <f>IFERROR(__xludf.DUMMYFUNCTION("""COMPUTED_VALUE"""),242.08)</f>
        <v>242.08</v>
      </c>
      <c r="E69" s="30">
        <f>IFERROR(__xludf.DUMMYFUNCTION("""COMPUTED_VALUE"""),238.11)</f>
        <v>238.11</v>
      </c>
      <c r="F69" s="30">
        <f>IFERROR(__xludf.DUMMYFUNCTION("""COMPUTED_VALUE"""),239.56)</f>
        <v>239.56</v>
      </c>
      <c r="G69" s="31">
        <f>IFERROR(__xludf.DUMMYFUNCTION("""COMPUTED_VALUE"""),1.9990138E7)</f>
        <v>19990138</v>
      </c>
      <c r="H69" s="10"/>
    </row>
    <row r="70" ht="17.25" customHeight="1">
      <c r="A70" s="10"/>
      <c r="B70" s="29">
        <f>IFERROR(__xludf.DUMMYFUNCTION("""COMPUTED_VALUE"""),45911.66666666667)</f>
        <v>45911.66667</v>
      </c>
      <c r="C70" s="30">
        <f>IFERROR(__xludf.DUMMYFUNCTION("""COMPUTED_VALUE"""),240.14)</f>
        <v>240.14</v>
      </c>
      <c r="D70" s="30">
        <f>IFERROR(__xludf.DUMMYFUNCTION("""COMPUTED_VALUE"""),242.57)</f>
        <v>242.57</v>
      </c>
      <c r="E70" s="30">
        <f>IFERROR(__xludf.DUMMYFUNCTION("""COMPUTED_VALUE"""),236.58)</f>
        <v>236.58</v>
      </c>
      <c r="F70" s="30">
        <f>IFERROR(__xludf.DUMMYFUNCTION("""COMPUTED_VALUE"""),240.78)</f>
        <v>240.78</v>
      </c>
      <c r="G70" s="31">
        <f>IFERROR(__xludf.DUMMYFUNCTION("""COMPUTED_VALUE"""),2.1308614E7)</f>
        <v>21308614</v>
      </c>
      <c r="H70" s="10"/>
    </row>
    <row r="71" ht="17.25" customHeight="1">
      <c r="A71" s="10"/>
      <c r="B71" s="29">
        <f>IFERROR(__xludf.DUMMYFUNCTION("""COMPUTED_VALUE"""),45912.66666666667)</f>
        <v>45912.66667</v>
      </c>
      <c r="C71" s="30">
        <f>IFERROR(__xludf.DUMMYFUNCTION("""COMPUTED_VALUE"""),240.8)</f>
        <v>240.8</v>
      </c>
      <c r="D71" s="30">
        <f>IFERROR(__xludf.DUMMYFUNCTION("""COMPUTED_VALUE"""),242.42)</f>
        <v>242.42</v>
      </c>
      <c r="E71" s="30">
        <f>IFERROR(__xludf.DUMMYFUNCTION("""COMPUTED_VALUE"""),238.5)</f>
        <v>238.5</v>
      </c>
      <c r="F71" s="30">
        <f>IFERROR(__xludf.DUMMYFUNCTION("""COMPUTED_VALUE"""),241.38)</f>
        <v>241.38</v>
      </c>
      <c r="G71" s="31">
        <f>IFERROR(__xludf.DUMMYFUNCTION("""COMPUTED_VALUE"""),1.4536593E7)</f>
        <v>14536593</v>
      </c>
      <c r="H71" s="10"/>
    </row>
    <row r="72" ht="17.25" customHeight="1">
      <c r="A72" s="10"/>
      <c r="B72" s="29">
        <f>IFERROR(__xludf.DUMMYFUNCTION("""COMPUTED_VALUE"""),45915.66666666667)</f>
        <v>45915.66667</v>
      </c>
      <c r="C72" s="30">
        <f>IFERROR(__xludf.DUMMYFUNCTION("""COMPUTED_VALUE"""),245.14)</f>
        <v>245.14</v>
      </c>
      <c r="D72" s="30">
        <f>IFERROR(__xludf.DUMMYFUNCTION("""COMPUTED_VALUE"""),252.75)</f>
        <v>252.75</v>
      </c>
      <c r="E72" s="30">
        <f>IFERROR(__xludf.DUMMYFUNCTION("""COMPUTED_VALUE"""),244.98)</f>
        <v>244.98</v>
      </c>
      <c r="F72" s="30">
        <f>IFERROR(__xludf.DUMMYFUNCTION("""COMPUTED_VALUE"""),251.76)</f>
        <v>251.76</v>
      </c>
      <c r="G72" s="31">
        <f>IFERROR(__xludf.DUMMYFUNCTION("""COMPUTED_VALUE"""),2.993515E7)</f>
        <v>29935150</v>
      </c>
      <c r="H72" s="10"/>
    </row>
    <row r="73" ht="17.25" customHeight="1">
      <c r="A73" s="10"/>
      <c r="B73" s="29">
        <f>IFERROR(__xludf.DUMMYFUNCTION("""COMPUTED_VALUE"""),45916.66666666667)</f>
        <v>45916.66667</v>
      </c>
      <c r="C73" s="30">
        <f>IFERROR(__xludf.DUMMYFUNCTION("""COMPUTED_VALUE"""),252.33)</f>
        <v>252.33</v>
      </c>
      <c r="D73" s="30">
        <f>IFERROR(__xludf.DUMMYFUNCTION("""COMPUTED_VALUE"""),253.23)</f>
        <v>253.23</v>
      </c>
      <c r="E73" s="30">
        <f>IFERROR(__xludf.DUMMYFUNCTION("""COMPUTED_VALUE"""),249.72)</f>
        <v>249.72</v>
      </c>
      <c r="F73" s="30">
        <f>IFERROR(__xludf.DUMMYFUNCTION("""COMPUTED_VALUE"""),251.42)</f>
        <v>251.42</v>
      </c>
      <c r="G73" s="31">
        <f>IFERROR(__xludf.DUMMYFUNCTION("""COMPUTED_VALUE"""),2.4493512E7)</f>
        <v>24493512</v>
      </c>
      <c r="H73" s="10"/>
    </row>
    <row r="74" ht="17.25" customHeight="1">
      <c r="A74" s="10"/>
      <c r="B74" s="29">
        <f>IFERROR(__xludf.DUMMYFUNCTION("""COMPUTED_VALUE"""),45917.66666666667)</f>
        <v>45917.66667</v>
      </c>
      <c r="C74" s="30">
        <f>IFERROR(__xludf.DUMMYFUNCTION("""COMPUTED_VALUE"""),251.46)</f>
        <v>251.46</v>
      </c>
      <c r="D74" s="30">
        <f>IFERROR(__xludf.DUMMYFUNCTION("""COMPUTED_VALUE"""),251.95)</f>
        <v>251.95</v>
      </c>
      <c r="E74" s="30">
        <f>IFERROR(__xludf.DUMMYFUNCTION("""COMPUTED_VALUE"""),246.58)</f>
        <v>246.58</v>
      </c>
      <c r="F74" s="30">
        <f>IFERROR(__xludf.DUMMYFUNCTION("""COMPUTED_VALUE"""),249.85)</f>
        <v>249.85</v>
      </c>
      <c r="G74" s="31">
        <f>IFERROR(__xludf.DUMMYFUNCTION("""COMPUTED_VALUE"""),2.0491324E7)</f>
        <v>20491324</v>
      </c>
      <c r="H74" s="10"/>
    </row>
    <row r="75" ht="17.25" customHeight="1">
      <c r="A75" s="10"/>
      <c r="B75" s="29">
        <f>IFERROR(__xludf.DUMMYFUNCTION("""COMPUTED_VALUE"""),45918.66666666667)</f>
        <v>45918.66667</v>
      </c>
      <c r="C75" s="30">
        <f>IFERROR(__xludf.DUMMYFUNCTION("""COMPUTED_VALUE"""),251.86)</f>
        <v>251.86</v>
      </c>
      <c r="D75" s="30">
        <f>IFERROR(__xludf.DUMMYFUNCTION("""COMPUTED_VALUE"""),254.14)</f>
        <v>254.14</v>
      </c>
      <c r="E75" s="30">
        <f>IFERROR(__xludf.DUMMYFUNCTION("""COMPUTED_VALUE"""),250.11)</f>
        <v>250.11</v>
      </c>
      <c r="F75" s="30">
        <f>IFERROR(__xludf.DUMMYFUNCTION("""COMPUTED_VALUE"""),252.33)</f>
        <v>252.33</v>
      </c>
      <c r="G75" s="31">
        <f>IFERROR(__xludf.DUMMYFUNCTION("""COMPUTED_VALUE"""),2.1166359E7)</f>
        <v>21166359</v>
      </c>
      <c r="H75" s="10"/>
    </row>
    <row r="76" ht="17.25" customHeight="1">
      <c r="A76" s="10"/>
      <c r="B76" s="29">
        <f>IFERROR(__xludf.DUMMYFUNCTION("""COMPUTED_VALUE"""),45919.66666666667)</f>
        <v>45919.66667</v>
      </c>
      <c r="C76" s="30">
        <f>IFERROR(__xludf.DUMMYFUNCTION("""COMPUTED_VALUE"""),253.4)</f>
        <v>253.4</v>
      </c>
      <c r="D76" s="30">
        <f>IFERROR(__xludf.DUMMYFUNCTION("""COMPUTED_VALUE"""),256.7)</f>
        <v>256.7</v>
      </c>
      <c r="E76" s="30">
        <f>IFERROR(__xludf.DUMMYFUNCTION("""COMPUTED_VALUE"""),252.07)</f>
        <v>252.07</v>
      </c>
      <c r="F76" s="30">
        <f>IFERROR(__xludf.DUMMYFUNCTION("""COMPUTED_VALUE"""),255.24)</f>
        <v>255.24</v>
      </c>
      <c r="G76" s="31">
        <f>IFERROR(__xludf.DUMMYFUNCTION("""COMPUTED_VALUE"""),4.1616844E7)</f>
        <v>41616844</v>
      </c>
      <c r="H76" s="10"/>
    </row>
    <row r="77" ht="17.25" customHeight="1">
      <c r="A77" s="10"/>
      <c r="B77" s="29">
        <f>IFERROR(__xludf.DUMMYFUNCTION("""COMPUTED_VALUE"""),45922.66666666667)</f>
        <v>45922.66667</v>
      </c>
      <c r="C77" s="30">
        <f>IFERROR(__xludf.DUMMYFUNCTION("""COMPUTED_VALUE"""),254.78)</f>
        <v>254.78</v>
      </c>
      <c r="D77" s="30">
        <f>IFERROR(__xludf.DUMMYFUNCTION("""COMPUTED_VALUE"""),256.31)</f>
        <v>256.31</v>
      </c>
      <c r="E77" s="30">
        <f>IFERROR(__xludf.DUMMYFUNCTION("""COMPUTED_VALUE"""),250.81)</f>
        <v>250.81</v>
      </c>
      <c r="F77" s="30">
        <f>IFERROR(__xludf.DUMMYFUNCTION("""COMPUTED_VALUE"""),252.88)</f>
        <v>252.88</v>
      </c>
      <c r="G77" s="31">
        <f>IFERROR(__xludf.DUMMYFUNCTION("""COMPUTED_VALUE"""),2.0078982E7)</f>
        <v>20078982</v>
      </c>
      <c r="H77" s="10"/>
    </row>
    <row r="78" ht="17.25" customHeight="1">
      <c r="A78" s="10"/>
      <c r="B78" s="29">
        <f>IFERROR(__xludf.DUMMYFUNCTION("""COMPUTED_VALUE"""),45923.66666666667)</f>
        <v>45923.66667</v>
      </c>
      <c r="C78" s="30">
        <f>IFERROR(__xludf.DUMMYFUNCTION("""COMPUTED_VALUE"""),253.66)</f>
        <v>253.66</v>
      </c>
      <c r="D78" s="30">
        <f>IFERROR(__xludf.DUMMYFUNCTION("""COMPUTED_VALUE"""),254.77)</f>
        <v>254.77</v>
      </c>
      <c r="E78" s="30">
        <f>IFERROR(__xludf.DUMMYFUNCTION("""COMPUTED_VALUE"""),251.09)</f>
        <v>251.09</v>
      </c>
      <c r="F78" s="30">
        <f>IFERROR(__xludf.DUMMYFUNCTION("""COMPUTED_VALUE"""),252.34)</f>
        <v>252.34</v>
      </c>
      <c r="G78" s="31">
        <f>IFERROR(__xludf.DUMMYFUNCTION("""COMPUTED_VALUE"""),1.7521091E7)</f>
        <v>17521091</v>
      </c>
      <c r="H78" s="10"/>
    </row>
    <row r="79" ht="17.25" customHeight="1">
      <c r="A79" s="10"/>
      <c r="B79" s="29">
        <f>IFERROR(__xludf.DUMMYFUNCTION("""COMPUTED_VALUE"""),45924.66666666667)</f>
        <v>45924.66667</v>
      </c>
      <c r="C79" s="30">
        <f>IFERROR(__xludf.DUMMYFUNCTION("""COMPUTED_VALUE"""),252.15)</f>
        <v>252.15</v>
      </c>
      <c r="D79" s="30">
        <f>IFERROR(__xludf.DUMMYFUNCTION("""COMPUTED_VALUE"""),252.96)</f>
        <v>252.96</v>
      </c>
      <c r="E79" s="30">
        <f>IFERROR(__xludf.DUMMYFUNCTION("""COMPUTED_VALUE"""),247.22)</f>
        <v>247.22</v>
      </c>
      <c r="F79" s="30">
        <f>IFERROR(__xludf.DUMMYFUNCTION("""COMPUTED_VALUE"""),247.83)</f>
        <v>247.83</v>
      </c>
      <c r="G79" s="31">
        <f>IFERROR(__xludf.DUMMYFUNCTION("""COMPUTED_VALUE"""),1.6958511E7)</f>
        <v>16958511</v>
      </c>
      <c r="H79" s="10"/>
    </row>
    <row r="80" ht="17.25" customHeight="1">
      <c r="A80" s="10"/>
      <c r="B80" s="29">
        <f>IFERROR(__xludf.DUMMYFUNCTION("""COMPUTED_VALUE"""),45925.66666666667)</f>
        <v>45925.66667</v>
      </c>
      <c r="C80" s="30">
        <f>IFERROR(__xludf.DUMMYFUNCTION("""COMPUTED_VALUE"""),244.84)</f>
        <v>244.84</v>
      </c>
      <c r="D80" s="30">
        <f>IFERROR(__xludf.DUMMYFUNCTION("""COMPUTED_VALUE"""),247.32)</f>
        <v>247.32</v>
      </c>
      <c r="E80" s="30">
        <f>IFERROR(__xludf.DUMMYFUNCTION("""COMPUTED_VALUE"""),241.65)</f>
        <v>241.65</v>
      </c>
      <c r="F80" s="30">
        <f>IFERROR(__xludf.DUMMYFUNCTION("""COMPUTED_VALUE"""),246.57)</f>
        <v>246.57</v>
      </c>
      <c r="G80" s="31">
        <f>IFERROR(__xludf.DUMMYFUNCTION("""COMPUTED_VALUE"""),1.7379793E7)</f>
        <v>17379793</v>
      </c>
      <c r="H80" s="10"/>
    </row>
    <row r="81" ht="17.25" customHeight="1">
      <c r="A81" s="10"/>
      <c r="B81" s="29">
        <f>IFERROR(__xludf.DUMMYFUNCTION("""COMPUTED_VALUE"""),45926.66666666667)</f>
        <v>45926.66667</v>
      </c>
      <c r="C81" s="30">
        <f>IFERROR(__xludf.DUMMYFUNCTION("""COMPUTED_VALUE"""),247.79)</f>
        <v>247.79</v>
      </c>
      <c r="D81" s="30">
        <f>IFERROR(__xludf.DUMMYFUNCTION("""COMPUTED_VALUE"""),250.12)</f>
        <v>250.12</v>
      </c>
      <c r="E81" s="30">
        <f>IFERROR(__xludf.DUMMYFUNCTION("""COMPUTED_VALUE"""),246.64)</f>
        <v>246.64</v>
      </c>
      <c r="F81" s="30">
        <f>IFERROR(__xludf.DUMMYFUNCTION("""COMPUTED_VALUE"""),247.18)</f>
        <v>247.18</v>
      </c>
      <c r="G81" s="31">
        <f>IFERROR(__xludf.DUMMYFUNCTION("""COMPUTED_VALUE"""),1.6594608E7)</f>
        <v>16594608</v>
      </c>
      <c r="H81" s="10"/>
    </row>
    <row r="82" ht="17.25" customHeight="1">
      <c r="A82" s="10"/>
      <c r="B82" s="29">
        <f>IFERROR(__xludf.DUMMYFUNCTION("""COMPUTED_VALUE"""),45929.66666666667)</f>
        <v>45929.66667</v>
      </c>
      <c r="C82" s="30">
        <f>IFERROR(__xludf.DUMMYFUNCTION("""COMPUTED_VALUE"""),248.28)</f>
        <v>248.28</v>
      </c>
      <c r="D82" s="30">
        <f>IFERROR(__xludf.DUMMYFUNCTION("""COMPUTED_VALUE"""),251.65)</f>
        <v>251.65</v>
      </c>
      <c r="E82" s="30">
        <f>IFERROR(__xludf.DUMMYFUNCTION("""COMPUTED_VALUE"""),243.2)</f>
        <v>243.2</v>
      </c>
      <c r="F82" s="30">
        <f>IFERROR(__xludf.DUMMYFUNCTION("""COMPUTED_VALUE"""),244.36)</f>
        <v>244.36</v>
      </c>
      <c r="G82" s="31">
        <f>IFERROR(__xludf.DUMMYFUNCTION("""COMPUTED_VALUE"""),2.3157245E7)</f>
        <v>23157245</v>
      </c>
      <c r="H82" s="10"/>
    </row>
    <row r="83" ht="17.25" customHeight="1">
      <c r="A83" s="10"/>
      <c r="B83" s="29">
        <f>IFERROR(__xludf.DUMMYFUNCTION("""COMPUTED_VALUE"""),45930.66666666667)</f>
        <v>45930.66667</v>
      </c>
      <c r="C83" s="30">
        <f>IFERROR(__xludf.DUMMYFUNCTION("""COMPUTED_VALUE"""),243.06)</f>
        <v>243.06</v>
      </c>
      <c r="D83" s="30">
        <f>IFERROR(__xludf.DUMMYFUNCTION("""COMPUTED_VALUE"""),243.68)</f>
        <v>243.68</v>
      </c>
      <c r="E83" s="30">
        <f>IFERROR(__xludf.DUMMYFUNCTION("""COMPUTED_VALUE"""),239.57)</f>
        <v>239.57</v>
      </c>
      <c r="F83" s="30">
        <f>IFERROR(__xludf.DUMMYFUNCTION("""COMPUTED_VALUE"""),243.55)</f>
        <v>243.55</v>
      </c>
      <c r="G83" s="31">
        <f>IFERROR(__xludf.DUMMYFUNCTION("""COMPUTED_VALUE"""),2.2541189E7)</f>
        <v>22541189</v>
      </c>
      <c r="H83" s="10"/>
    </row>
    <row r="84" ht="17.25" customHeight="1">
      <c r="A84" s="10"/>
      <c r="B84" s="29">
        <f>IFERROR(__xludf.DUMMYFUNCTION("""COMPUTED_VALUE"""),45931.66666666667)</f>
        <v>45931.66667</v>
      </c>
      <c r="C84" s="30">
        <f>IFERROR(__xludf.DUMMYFUNCTION("""COMPUTED_VALUE"""),241.18)</f>
        <v>241.18</v>
      </c>
      <c r="D84" s="30">
        <f>IFERROR(__xludf.DUMMYFUNCTION("""COMPUTED_VALUE"""),247.15)</f>
        <v>247.15</v>
      </c>
      <c r="E84" s="30">
        <f>IFERROR(__xludf.DUMMYFUNCTION("""COMPUTED_VALUE"""),239.2)</f>
        <v>239.2</v>
      </c>
      <c r="F84" s="30">
        <f>IFERROR(__xludf.DUMMYFUNCTION("""COMPUTED_VALUE"""),245.54)</f>
        <v>245.54</v>
      </c>
      <c r="G84" s="31">
        <f>IFERROR(__xludf.DUMMYFUNCTION("""COMPUTED_VALUE"""),2.3967662E7)</f>
        <v>23967662</v>
      </c>
      <c r="H84" s="10"/>
    </row>
    <row r="85" ht="17.25" customHeight="1">
      <c r="A85" s="10"/>
      <c r="B85" s="29">
        <f>IFERROR(__xludf.DUMMYFUNCTION("""COMPUTED_VALUE"""),45932.66666666667)</f>
        <v>45932.66667</v>
      </c>
      <c r="C85" s="30">
        <f>IFERROR(__xludf.DUMMYFUNCTION("""COMPUTED_VALUE"""),245.64)</f>
        <v>245.64</v>
      </c>
      <c r="D85" s="30">
        <f>IFERROR(__xludf.DUMMYFUNCTION("""COMPUTED_VALUE"""),247.64)</f>
        <v>247.64</v>
      </c>
      <c r="E85" s="30">
        <f>IFERROR(__xludf.DUMMYFUNCTION("""COMPUTED_VALUE"""),243.11)</f>
        <v>243.11</v>
      </c>
      <c r="F85" s="30">
        <f>IFERROR(__xludf.DUMMYFUNCTION("""COMPUTED_VALUE"""),246.43)</f>
        <v>246.43</v>
      </c>
      <c r="G85" s="31">
        <f>IFERROR(__xludf.DUMMYFUNCTION("""COMPUTED_VALUE"""),2.0657524E7)</f>
        <v>20657524</v>
      </c>
      <c r="H85" s="10"/>
    </row>
    <row r="86" ht="17.25" customHeight="1">
      <c r="A86" s="10"/>
      <c r="B86" s="29">
        <f>IFERROR(__xludf.DUMMYFUNCTION("""COMPUTED_VALUE"""),45933.66666666667)</f>
        <v>45933.66667</v>
      </c>
      <c r="C86" s="30">
        <f>IFERROR(__xludf.DUMMYFUNCTION("""COMPUTED_VALUE"""),245.23)</f>
        <v>245.23</v>
      </c>
      <c r="D86" s="30">
        <f>IFERROR(__xludf.DUMMYFUNCTION("""COMPUTED_VALUE"""),247.12)</f>
        <v>247.12</v>
      </c>
      <c r="E86" s="30">
        <f>IFERROR(__xludf.DUMMYFUNCTION("""COMPUTED_VALUE"""),242.47)</f>
        <v>242.47</v>
      </c>
      <c r="F86" s="30">
        <f>IFERROR(__xludf.DUMMYFUNCTION("""COMPUTED_VALUE"""),246.45)</f>
        <v>246.45</v>
      </c>
      <c r="G86" s="31">
        <f>IFERROR(__xludf.DUMMYFUNCTION("""COMPUTED_VALUE"""),1.9941381E7)</f>
        <v>19941381</v>
      </c>
      <c r="H86" s="10"/>
    </row>
    <row r="87" ht="17.25" customHeight="1">
      <c r="A87" s="10"/>
      <c r="B87" s="29">
        <f>IFERROR(__xludf.DUMMYFUNCTION("""COMPUTED_VALUE"""),45936.66666666667)</f>
        <v>45936.66667</v>
      </c>
      <c r="C87" s="30">
        <f>IFERROR(__xludf.DUMMYFUNCTION("""COMPUTED_VALUE"""),245.78)</f>
        <v>245.78</v>
      </c>
      <c r="D87" s="30">
        <f>IFERROR(__xludf.DUMMYFUNCTION("""COMPUTED_VALUE"""),252.2)</f>
        <v>252.2</v>
      </c>
      <c r="E87" s="30">
        <f>IFERROR(__xludf.DUMMYFUNCTION("""COMPUTED_VALUE"""),245.69)</f>
        <v>245.69</v>
      </c>
      <c r="F87" s="30">
        <f>IFERROR(__xludf.DUMMYFUNCTION("""COMPUTED_VALUE"""),251.51)</f>
        <v>251.51</v>
      </c>
      <c r="G87" s="31">
        <f>IFERROR(__xludf.DUMMYFUNCTION("""COMPUTED_VALUE"""),1.830903E7)</f>
        <v>18309030</v>
      </c>
      <c r="H87" s="10"/>
    </row>
    <row r="88" ht="17.25" customHeight="1">
      <c r="A88" s="10"/>
      <c r="B88" s="29">
        <f>IFERROR(__xludf.DUMMYFUNCTION("""COMPUTED_VALUE"""),45937.66666666667)</f>
        <v>45937.66667</v>
      </c>
      <c r="C88" s="30">
        <f>IFERROR(__xludf.DUMMYFUNCTION("""COMPUTED_VALUE"""),248.93)</f>
        <v>248.93</v>
      </c>
      <c r="D88" s="30">
        <f>IFERROR(__xludf.DUMMYFUNCTION("""COMPUTED_VALUE"""),251.55)</f>
        <v>251.55</v>
      </c>
      <c r="E88" s="30">
        <f>IFERROR(__xludf.DUMMYFUNCTION("""COMPUTED_VALUE"""),246.81)</f>
        <v>246.81</v>
      </c>
      <c r="F88" s="30">
        <f>IFERROR(__xludf.DUMMYFUNCTION("""COMPUTED_VALUE"""),247.13)</f>
        <v>247.13</v>
      </c>
      <c r="G88" s="31">
        <f>IFERROR(__xludf.DUMMYFUNCTION("""COMPUTED_VALUE"""),1.3811174E7)</f>
        <v>13811174</v>
      </c>
      <c r="H88" s="10"/>
    </row>
    <row r="89" ht="17.25" customHeight="1">
      <c r="A89" s="10"/>
      <c r="B89" s="29">
        <f>IFERROR(__xludf.DUMMYFUNCTION("""COMPUTED_VALUE"""),45938.66666666667)</f>
        <v>45938.66667</v>
      </c>
      <c r="C89" s="30">
        <f>IFERROR(__xludf.DUMMYFUNCTION("""COMPUTED_VALUE"""),246.2)</f>
        <v>246.2</v>
      </c>
      <c r="D89" s="30">
        <f>IFERROR(__xludf.DUMMYFUNCTION("""COMPUTED_VALUE"""),247.26)</f>
        <v>247.26</v>
      </c>
      <c r="E89" s="30">
        <f>IFERROR(__xludf.DUMMYFUNCTION("""COMPUTED_VALUE"""),245.09)</f>
        <v>245.09</v>
      </c>
      <c r="F89" s="30">
        <f>IFERROR(__xludf.DUMMYFUNCTION("""COMPUTED_VALUE"""),245.46)</f>
        <v>245.46</v>
      </c>
      <c r="G89" s="31">
        <f>IFERROR(__xludf.DUMMYFUNCTION("""COMPUTED_VALUE"""),1.4136494E7)</f>
        <v>14136494</v>
      </c>
      <c r="H89" s="10"/>
    </row>
    <row r="90" ht="17.25" customHeight="1">
      <c r="A90" s="10"/>
      <c r="B90" s="29">
        <f>IFERROR(__xludf.DUMMYFUNCTION("""COMPUTED_VALUE"""),45939.66666666667)</f>
        <v>45939.66667</v>
      </c>
      <c r="C90" s="30">
        <f>IFERROR(__xludf.DUMMYFUNCTION("""COMPUTED_VALUE"""),245.06)</f>
        <v>245.06</v>
      </c>
      <c r="D90" s="30">
        <f>IFERROR(__xludf.DUMMYFUNCTION("""COMPUTED_VALUE"""),245.56)</f>
        <v>245.56</v>
      </c>
      <c r="E90" s="30">
        <f>IFERROR(__xludf.DUMMYFUNCTION("""COMPUTED_VALUE"""),239.68)</f>
        <v>239.68</v>
      </c>
      <c r="F90" s="30">
        <f>IFERROR(__xludf.DUMMYFUNCTION("""COMPUTED_VALUE"""),242.21)</f>
        <v>242.21</v>
      </c>
      <c r="G90" s="31">
        <f>IFERROR(__xludf.DUMMYFUNCTION("""COMPUTED_VALUE"""),1.9375722E7)</f>
        <v>19375722</v>
      </c>
      <c r="H90" s="10"/>
    </row>
    <row r="91" ht="17.25" customHeight="1">
      <c r="A91" s="10"/>
      <c r="B91" s="29">
        <f>IFERROR(__xludf.DUMMYFUNCTION("""COMPUTED_VALUE"""),45940.66666666667)</f>
        <v>45940.66667</v>
      </c>
      <c r="C91" s="30">
        <f>IFERROR(__xludf.DUMMYFUNCTION("""COMPUTED_VALUE"""),242.16)</f>
        <v>242.16</v>
      </c>
      <c r="D91" s="30">
        <f>IFERROR(__xludf.DUMMYFUNCTION("""COMPUTED_VALUE"""),244.84)</f>
        <v>244.84</v>
      </c>
      <c r="E91" s="30">
        <f>IFERROR(__xludf.DUMMYFUNCTION("""COMPUTED_VALUE"""),236.69)</f>
        <v>236.69</v>
      </c>
      <c r="F91" s="30">
        <f>IFERROR(__xludf.DUMMYFUNCTION("""COMPUTED_VALUE"""),237.49)</f>
        <v>237.49</v>
      </c>
      <c r="G91" s="31">
        <f>IFERROR(__xludf.DUMMYFUNCTION("""COMPUTED_VALUE"""),2.2449083E7)</f>
        <v>22449083</v>
      </c>
      <c r="H91" s="10"/>
    </row>
    <row r="92" ht="17.25" customHeight="1">
      <c r="A92" s="10"/>
      <c r="B92" s="29">
        <f>IFERROR(__xludf.DUMMYFUNCTION("""COMPUTED_VALUE"""),45943.66666666667)</f>
        <v>45943.66667</v>
      </c>
      <c r="C92" s="30">
        <f>IFERROR(__xludf.DUMMYFUNCTION("""COMPUTED_VALUE"""),241.03)</f>
        <v>241.03</v>
      </c>
      <c r="D92" s="30">
        <f>IFERROR(__xludf.DUMMYFUNCTION("""COMPUTED_VALUE"""),244.99)</f>
        <v>244.99</v>
      </c>
      <c r="E92" s="30">
        <f>IFERROR(__xludf.DUMMYFUNCTION("""COMPUTED_VALUE"""),240.75)</f>
        <v>240.75</v>
      </c>
      <c r="F92" s="30">
        <f>IFERROR(__xludf.DUMMYFUNCTION("""COMPUTED_VALUE"""),244.64)</f>
        <v>244.64</v>
      </c>
      <c r="G92" s="31">
        <f>IFERROR(__xludf.DUMMYFUNCTION("""COMPUTED_VALUE"""),1.2464965E7)</f>
        <v>12464965</v>
      </c>
      <c r="H92" s="10"/>
    </row>
    <row r="93" ht="17.25" customHeight="1">
      <c r="A93" s="10"/>
      <c r="B93" s="29">
        <f>IFERROR(__xludf.DUMMYFUNCTION("""COMPUTED_VALUE"""),45944.66666666667)</f>
        <v>45944.66667</v>
      </c>
      <c r="C93" s="30">
        <f>IFERROR(__xludf.DUMMYFUNCTION("""COMPUTED_VALUE"""),241.76)</f>
        <v>241.76</v>
      </c>
      <c r="D93" s="30">
        <f>IFERROR(__xludf.DUMMYFUNCTION("""COMPUTED_VALUE"""),248.03)</f>
        <v>248.03</v>
      </c>
      <c r="E93" s="30">
        <f>IFERROR(__xludf.DUMMYFUNCTION("""COMPUTED_VALUE"""),241.18)</f>
        <v>241.18</v>
      </c>
      <c r="F93" s="30">
        <f>IFERROR(__xludf.DUMMYFUNCTION("""COMPUTED_VALUE"""),246.19)</f>
        <v>246.19</v>
      </c>
      <c r="G93" s="31">
        <f>IFERROR(__xludf.DUMMYFUNCTION("""COMPUTED_VALUE"""),1.770537E7)</f>
        <v>17705370</v>
      </c>
      <c r="H93" s="10"/>
    </row>
    <row r="94" ht="17.25" customHeight="1">
      <c r="A94" s="10"/>
      <c r="B94" s="29">
        <f>IFERROR(__xludf.DUMMYFUNCTION("""COMPUTED_VALUE"""),45945.66666666667)</f>
        <v>45945.66667</v>
      </c>
      <c r="C94" s="30">
        <f>IFERROR(__xludf.DUMMYFUNCTION("""COMPUTED_VALUE"""),248.09)</f>
        <v>248.09</v>
      </c>
      <c r="D94" s="30">
        <f>IFERROR(__xludf.DUMMYFUNCTION("""COMPUTED_VALUE"""),252.76)</f>
        <v>252.76</v>
      </c>
      <c r="E94" s="30">
        <f>IFERROR(__xludf.DUMMYFUNCTION("""COMPUTED_VALUE"""),246.79)</f>
        <v>246.79</v>
      </c>
      <c r="F94" s="30">
        <f>IFERROR(__xludf.DUMMYFUNCTION("""COMPUTED_VALUE"""),251.71)</f>
        <v>251.71</v>
      </c>
      <c r="G94" s="31">
        <f>IFERROR(__xludf.DUMMYFUNCTION("""COMPUTED_VALUE"""),1.6048087E7)</f>
        <v>16048087</v>
      </c>
      <c r="H94" s="10"/>
    </row>
    <row r="95" ht="17.25" customHeight="1">
      <c r="A95" s="10"/>
      <c r="B95" s="29">
        <f>IFERROR(__xludf.DUMMYFUNCTION("""COMPUTED_VALUE"""),45946.66666666667)</f>
        <v>45946.66667</v>
      </c>
      <c r="C95" s="30">
        <f>IFERROR(__xludf.DUMMYFUNCTION("""COMPUTED_VALUE"""),252.47)</f>
        <v>252.47</v>
      </c>
      <c r="D95" s="30">
        <f>IFERROR(__xludf.DUMMYFUNCTION("""COMPUTED_VALUE"""),257.58)</f>
        <v>257.58</v>
      </c>
      <c r="E95" s="30">
        <f>IFERROR(__xludf.DUMMYFUNCTION("""COMPUTED_VALUE"""),250.67)</f>
        <v>250.67</v>
      </c>
      <c r="F95" s="30">
        <f>IFERROR(__xludf.DUMMYFUNCTION("""COMPUTED_VALUE"""),251.88)</f>
        <v>251.88</v>
      </c>
      <c r="G95" s="31">
        <f>IFERROR(__xludf.DUMMYFUNCTION("""COMPUTED_VALUE"""),1.8945987E7)</f>
        <v>18945987</v>
      </c>
      <c r="H95" s="10"/>
    </row>
    <row r="96" ht="17.25" customHeight="1">
      <c r="A96" s="10"/>
      <c r="B96" s="29">
        <f>IFERROR(__xludf.DUMMYFUNCTION("""COMPUTED_VALUE"""),45947.66666666667)</f>
        <v>45947.66667</v>
      </c>
      <c r="C96" s="30">
        <f>IFERROR(__xludf.DUMMYFUNCTION("""COMPUTED_VALUE"""),251.35)</f>
        <v>251.35</v>
      </c>
      <c r="D96" s="30">
        <f>IFERROR(__xludf.DUMMYFUNCTION("""COMPUTED_VALUE"""),254.88)</f>
        <v>254.88</v>
      </c>
      <c r="E96" s="30">
        <f>IFERROR(__xludf.DUMMYFUNCTION("""COMPUTED_VALUE"""),248.59)</f>
        <v>248.59</v>
      </c>
      <c r="F96" s="30">
        <f>IFERROR(__xludf.DUMMYFUNCTION("""COMPUTED_VALUE"""),253.79)</f>
        <v>253.79</v>
      </c>
      <c r="G96" s="31">
        <f>IFERROR(__xludf.DUMMYFUNCTION("""COMPUTED_VALUE"""),1.7653826E7)</f>
        <v>17653826</v>
      </c>
      <c r="H96" s="10"/>
    </row>
    <row r="97" ht="17.25" customHeight="1">
      <c r="A97" s="10"/>
      <c r="B97" s="29">
        <f>IFERROR(__xludf.DUMMYFUNCTION("""COMPUTED_VALUE"""),45950.66666666667)</f>
        <v>45950.66667</v>
      </c>
      <c r="C97" s="30">
        <f>IFERROR(__xludf.DUMMYFUNCTION("""COMPUTED_VALUE"""),255.23)</f>
        <v>255.23</v>
      </c>
      <c r="D97" s="30">
        <f>IFERROR(__xludf.DUMMYFUNCTION("""COMPUTED_VALUE"""),257.88)</f>
        <v>257.88</v>
      </c>
      <c r="E97" s="30">
        <f>IFERROR(__xludf.DUMMYFUNCTION("""COMPUTED_VALUE"""),254.6)</f>
        <v>254.6</v>
      </c>
      <c r="F97" s="30">
        <f>IFERROR(__xludf.DUMMYFUNCTION("""COMPUTED_VALUE"""),257.02)</f>
        <v>257.02</v>
      </c>
      <c r="G97" s="31">
        <f>IFERROR(__xludf.DUMMYFUNCTION("""COMPUTED_VALUE"""),1.3726831E7)</f>
        <v>13726831</v>
      </c>
      <c r="H97" s="10"/>
    </row>
    <row r="98" ht="17.25" customHeight="1">
      <c r="A98" s="10"/>
      <c r="B98" s="29">
        <f>IFERROR(__xludf.DUMMYFUNCTION("""COMPUTED_VALUE"""),45951.66666666667)</f>
        <v>45951.66667</v>
      </c>
      <c r="C98" s="30">
        <f>IFERROR(__xludf.DUMMYFUNCTION("""COMPUTED_VALUE"""),255.25)</f>
        <v>255.25</v>
      </c>
      <c r="D98" s="30">
        <f>IFERROR(__xludf.DUMMYFUNCTION("""COMPUTED_VALUE"""),255.38)</f>
        <v>255.38</v>
      </c>
      <c r="E98" s="30">
        <f>IFERROR(__xludf.DUMMYFUNCTION("""COMPUTED_VALUE"""),244.67)</f>
        <v>244.67</v>
      </c>
      <c r="F98" s="30">
        <f>IFERROR(__xludf.DUMMYFUNCTION("""COMPUTED_VALUE"""),251.34)</f>
        <v>251.34</v>
      </c>
      <c r="G98" s="31">
        <f>IFERROR(__xludf.DUMMYFUNCTION("""COMPUTED_VALUE"""),2.7836425E7)</f>
        <v>27836425</v>
      </c>
      <c r="H98" s="10"/>
    </row>
    <row r="99" ht="17.25" customHeight="1">
      <c r="A99" s="10"/>
      <c r="B99" s="29">
        <f>IFERROR(__xludf.DUMMYFUNCTION("""COMPUTED_VALUE"""),45952.66666666667)</f>
        <v>45952.66667</v>
      </c>
      <c r="C99" s="30">
        <f>IFERROR(__xludf.DUMMYFUNCTION("""COMPUTED_VALUE"""),255.01)</f>
        <v>255.01</v>
      </c>
      <c r="D99" s="30">
        <f>IFERROR(__xludf.DUMMYFUNCTION("""COMPUTED_VALUE"""),257.18)</f>
        <v>257.18</v>
      </c>
      <c r="E99" s="30">
        <f>IFERROR(__xludf.DUMMYFUNCTION("""COMPUTED_VALUE"""),250.45)</f>
        <v>250.45</v>
      </c>
      <c r="F99" s="30">
        <f>IFERROR(__xludf.DUMMYFUNCTION("""COMPUTED_VALUE"""),252.53)</f>
        <v>252.53</v>
      </c>
      <c r="G99" s="31">
        <f>IFERROR(__xludf.DUMMYFUNCTION("""COMPUTED_VALUE"""),1.9650244E7)</f>
        <v>19650244</v>
      </c>
      <c r="H99" s="10"/>
    </row>
    <row r="100" ht="17.25" customHeight="1">
      <c r="A100" s="10"/>
      <c r="B100" s="29">
        <f>IFERROR(__xludf.DUMMYFUNCTION("""COMPUTED_VALUE"""),45953.66666666667)</f>
        <v>45953.66667</v>
      </c>
      <c r="C100" s="30">
        <f>IFERROR(__xludf.DUMMYFUNCTION("""COMPUTED_VALUE"""),253.7)</f>
        <v>253.7</v>
      </c>
      <c r="D100" s="30">
        <f>IFERROR(__xludf.DUMMYFUNCTION("""COMPUTED_VALUE"""),255.86)</f>
        <v>255.86</v>
      </c>
      <c r="E100" s="30">
        <f>IFERROR(__xludf.DUMMYFUNCTION("""COMPUTED_VALUE"""),252.77)</f>
        <v>252.77</v>
      </c>
      <c r="F100" s="30">
        <f>IFERROR(__xludf.DUMMYFUNCTION("""COMPUTED_VALUE"""),253.73)</f>
        <v>253.73</v>
      </c>
      <c r="G100" s="31">
        <f>IFERROR(__xludf.DUMMYFUNCTION("""COMPUTED_VALUE"""),1.3241319E7)</f>
        <v>13241319</v>
      </c>
      <c r="H100" s="10"/>
    </row>
    <row r="101" ht="17.25" customHeight="1">
      <c r="A101" s="10"/>
      <c r="B101" s="29">
        <f>IFERROR(__xludf.DUMMYFUNCTION("""COMPUTED_VALUE"""),45954.66666666667)</f>
        <v>45954.66667</v>
      </c>
      <c r="C101" s="30">
        <f>IFERROR(__xludf.DUMMYFUNCTION("""COMPUTED_VALUE"""),257.3)</f>
        <v>257.3</v>
      </c>
      <c r="D101" s="30">
        <f>IFERROR(__xludf.DUMMYFUNCTION("""COMPUTED_VALUE"""),262.51)</f>
        <v>262.51</v>
      </c>
      <c r="E101" s="30">
        <f>IFERROR(__xludf.DUMMYFUNCTION("""COMPUTED_VALUE"""),256.1)</f>
        <v>256.1</v>
      </c>
      <c r="F101" s="30">
        <f>IFERROR(__xludf.DUMMYFUNCTION("""COMPUTED_VALUE"""),260.51)</f>
        <v>260.51</v>
      </c>
      <c r="G101" s="31">
        <f>IFERROR(__xludf.DUMMYFUNCTION("""COMPUTED_VALUE"""),1.8405966E7)</f>
        <v>18405966</v>
      </c>
      <c r="H101" s="10"/>
    </row>
    <row r="102" ht="17.25" customHeight="1">
      <c r="A102" s="10"/>
      <c r="B102" s="29">
        <f>IFERROR(__xludf.DUMMYFUNCTION("""COMPUTED_VALUE"""),45957.66666666667)</f>
        <v>45957.66667</v>
      </c>
      <c r="C102" s="30">
        <f>IFERROR(__xludf.DUMMYFUNCTION("""COMPUTED_VALUE"""),265.36)</f>
        <v>265.36</v>
      </c>
      <c r="D102" s="30">
        <f>IFERROR(__xludf.DUMMYFUNCTION("""COMPUTED_VALUE"""),270.8)</f>
        <v>270.8</v>
      </c>
      <c r="E102" s="30">
        <f>IFERROR(__xludf.DUMMYFUNCTION("""COMPUTED_VALUE"""),264.94)</f>
        <v>264.94</v>
      </c>
      <c r="F102" s="30">
        <f>IFERROR(__xludf.DUMMYFUNCTION("""COMPUTED_VALUE"""),269.93)</f>
        <v>269.93</v>
      </c>
      <c r="G102" s="31">
        <f>IFERROR(__xludf.DUMMYFUNCTION("""COMPUTED_VALUE"""),2.298766E7)</f>
        <v>22987660</v>
      </c>
      <c r="H102" s="10"/>
    </row>
    <row r="103" ht="17.25" customHeight="1">
      <c r="A103" s="10"/>
      <c r="B103" s="29">
        <f>IFERROR(__xludf.DUMMYFUNCTION("""COMPUTED_VALUE"""),45958.66666666667)</f>
        <v>45958.66667</v>
      </c>
      <c r="C103" s="30">
        <f>IFERROR(__xludf.DUMMYFUNCTION("""COMPUTED_VALUE"""),270.2)</f>
        <v>270.2</v>
      </c>
      <c r="D103" s="30">
        <f>IFERROR(__xludf.DUMMYFUNCTION("""COMPUTED_VALUE"""),271.38)</f>
        <v>271.38</v>
      </c>
      <c r="E103" s="30">
        <f>IFERROR(__xludf.DUMMYFUNCTION("""COMPUTED_VALUE"""),267.17)</f>
        <v>267.17</v>
      </c>
      <c r="F103" s="30">
        <f>IFERROR(__xludf.DUMMYFUNCTION("""COMPUTED_VALUE"""),268.43)</f>
        <v>268.43</v>
      </c>
      <c r="G103" s="31">
        <f>IFERROR(__xludf.DUMMYFUNCTION("""COMPUTED_VALUE"""),2.010116E7)</f>
        <v>20101160</v>
      </c>
      <c r="H103" s="10"/>
    </row>
    <row r="104" ht="17.25" customHeight="1">
      <c r="A104" s="10"/>
      <c r="B104" s="29">
        <f>IFERROR(__xludf.DUMMYFUNCTION("""COMPUTED_VALUE"""),45959.66666666667)</f>
        <v>45959.66667</v>
      </c>
      <c r="C104" s="30">
        <f>IFERROR(__xludf.DUMMYFUNCTION("""COMPUTED_VALUE"""),268.61)</f>
        <v>268.61</v>
      </c>
      <c r="D104" s="30">
        <f>IFERROR(__xludf.DUMMYFUNCTION("""COMPUTED_VALUE"""),275.97)</f>
        <v>275.97</v>
      </c>
      <c r="E104" s="30">
        <f>IFERROR(__xludf.DUMMYFUNCTION("""COMPUTED_VALUE"""),268.43)</f>
        <v>268.43</v>
      </c>
      <c r="F104" s="30">
        <f>IFERROR(__xludf.DUMMYFUNCTION("""COMPUTED_VALUE"""),275.17)</f>
        <v>275.17</v>
      </c>
      <c r="G104" s="31">
        <f>IFERROR(__xludf.DUMMYFUNCTION("""COMPUTED_VALUE"""),2.628785E7)</f>
        <v>26287850</v>
      </c>
      <c r="H104" s="10"/>
    </row>
    <row r="105" ht="17.25" customHeight="1">
      <c r="A105" s="10"/>
      <c r="B105" s="29">
        <f>IFERROR(__xludf.DUMMYFUNCTION("""COMPUTED_VALUE"""),45960.66666666667)</f>
        <v>45960.66667</v>
      </c>
      <c r="C105" s="30">
        <f>IFERROR(__xludf.DUMMYFUNCTION("""COMPUTED_VALUE"""),291.72)</f>
        <v>291.72</v>
      </c>
      <c r="D105" s="30">
        <f>IFERROR(__xludf.DUMMYFUNCTION("""COMPUTED_VALUE"""),291.93)</f>
        <v>291.93</v>
      </c>
      <c r="E105" s="30">
        <f>IFERROR(__xludf.DUMMYFUNCTION("""COMPUTED_VALUE"""),280.45)</f>
        <v>280.45</v>
      </c>
      <c r="F105" s="30">
        <f>IFERROR(__xludf.DUMMYFUNCTION("""COMPUTED_VALUE"""),281.9)</f>
        <v>281.9</v>
      </c>
      <c r="G105" s="31">
        <f>IFERROR(__xludf.DUMMYFUNCTION("""COMPUTED_VALUE"""),4.8570034E7)</f>
        <v>48570034</v>
      </c>
      <c r="H105" s="10"/>
    </row>
    <row r="106" ht="17.25" customHeight="1">
      <c r="A106" s="10"/>
      <c r="B106" s="29">
        <f>IFERROR(__xludf.DUMMYFUNCTION("""COMPUTED_VALUE"""),45961.66666666667)</f>
        <v>45961.66667</v>
      </c>
      <c r="C106" s="30">
        <f>IFERROR(__xludf.DUMMYFUNCTION("""COMPUTED_VALUE"""),283.21)</f>
        <v>283.21</v>
      </c>
      <c r="D106" s="30">
        <f>IFERROR(__xludf.DUMMYFUNCTION("""COMPUTED_VALUE"""),286.29)</f>
        <v>286.29</v>
      </c>
      <c r="E106" s="30">
        <f>IFERROR(__xludf.DUMMYFUNCTION("""COMPUTED_VALUE"""),277.52)</f>
        <v>277.52</v>
      </c>
      <c r="F106" s="30">
        <f>IFERROR(__xludf.DUMMYFUNCTION("""COMPUTED_VALUE"""),281.82)</f>
        <v>281.82</v>
      </c>
      <c r="G106" s="31">
        <f>IFERROR(__xludf.DUMMYFUNCTION("""COMPUTED_VALUE"""),2.9932813E7)</f>
        <v>29932813</v>
      </c>
      <c r="H106" s="10"/>
    </row>
    <row r="107" ht="17.25" customHeight="1">
      <c r="A107" s="10"/>
      <c r="B107" s="29">
        <f>IFERROR(__xludf.DUMMYFUNCTION("""COMPUTED_VALUE"""),45964.66666666667)</f>
        <v>45964.66667</v>
      </c>
      <c r="C107" s="30">
        <f>IFERROR(__xludf.DUMMYFUNCTION("""COMPUTED_VALUE"""),282.42)</f>
        <v>282.42</v>
      </c>
      <c r="D107" s="30">
        <f>IFERROR(__xludf.DUMMYFUNCTION("""COMPUTED_VALUE"""),285.94)</f>
        <v>285.94</v>
      </c>
      <c r="E107" s="30">
        <f>IFERROR(__xludf.DUMMYFUNCTION("""COMPUTED_VALUE"""),280.37)</f>
        <v>280.37</v>
      </c>
      <c r="F107" s="30">
        <f>IFERROR(__xludf.DUMMYFUNCTION("""COMPUTED_VALUE"""),284.12)</f>
        <v>284.12</v>
      </c>
      <c r="G107" s="31">
        <f>IFERROR(__xludf.DUMMYFUNCTION("""COMPUTED_VALUE"""),1.9691754E7)</f>
        <v>19691754</v>
      </c>
      <c r="H107" s="10"/>
    </row>
    <row r="108" ht="17.25" customHeight="1">
      <c r="A108" s="10"/>
      <c r="B108" s="29">
        <f>IFERROR(__xludf.DUMMYFUNCTION("""COMPUTED_VALUE"""),45965.66666666667)</f>
        <v>45965.66667</v>
      </c>
      <c r="C108" s="30">
        <f>IFERROR(__xludf.DUMMYFUNCTION("""COMPUTED_VALUE"""),277.07)</f>
        <v>277.07</v>
      </c>
      <c r="D108" s="30">
        <f>IFERROR(__xludf.DUMMYFUNCTION("""COMPUTED_VALUE"""),281.83)</f>
        <v>281.83</v>
      </c>
      <c r="E108" s="30">
        <f>IFERROR(__xludf.DUMMYFUNCTION("""COMPUTED_VALUE"""),276.87)</f>
        <v>276.87</v>
      </c>
      <c r="F108" s="30">
        <f>IFERROR(__xludf.DUMMYFUNCTION("""COMPUTED_VALUE"""),278.06)</f>
        <v>278.06</v>
      </c>
      <c r="G108" s="31">
        <f>IFERROR(__xludf.DUMMYFUNCTION("""COMPUTED_VALUE"""),1.8123709E7)</f>
        <v>18123709</v>
      </c>
      <c r="H108" s="10"/>
    </row>
    <row r="109" ht="17.25" customHeight="1">
      <c r="A109" s="10"/>
      <c r="B109" s="29">
        <f>IFERROR(__xludf.DUMMYFUNCTION("""COMPUTED_VALUE"""),45966.66666666667)</f>
        <v>45966.66667</v>
      </c>
      <c r="C109" s="30">
        <f>IFERROR(__xludf.DUMMYFUNCTION("""COMPUTED_VALUE"""),279.38)</f>
        <v>279.38</v>
      </c>
      <c r="D109" s="30">
        <f>IFERROR(__xludf.DUMMYFUNCTION("""COMPUTED_VALUE"""),286.7)</f>
        <v>286.7</v>
      </c>
      <c r="E109" s="30">
        <f>IFERROR(__xludf.DUMMYFUNCTION("""COMPUTED_VALUE"""),277.88)</f>
        <v>277.88</v>
      </c>
      <c r="F109" s="30">
        <f>IFERROR(__xludf.DUMMYFUNCTION("""COMPUTED_VALUE"""),284.75)</f>
        <v>284.75</v>
      </c>
      <c r="G109" s="31">
        <f>IFERROR(__xludf.DUMMYFUNCTION("""COMPUTED_VALUE"""),2.0063216E7)</f>
        <v>20063216</v>
      </c>
      <c r="H109" s="10"/>
    </row>
    <row r="110" ht="17.25" customHeight="1">
      <c r="A110" s="10"/>
      <c r="B110" s="29">
        <f>IFERROR(__xludf.DUMMYFUNCTION("""COMPUTED_VALUE"""),45967.66666666667)</f>
        <v>45967.66667</v>
      </c>
      <c r="C110" s="30">
        <f>IFERROR(__xludf.DUMMYFUNCTION("""COMPUTED_VALUE"""),285.74)</f>
        <v>285.74</v>
      </c>
      <c r="D110" s="30">
        <f>IFERROR(__xludf.DUMMYFUNCTION("""COMPUTED_VALUE"""),288.81)</f>
        <v>288.81</v>
      </c>
      <c r="E110" s="30">
        <f>IFERROR(__xludf.DUMMYFUNCTION("""COMPUTED_VALUE"""),281.62)</f>
        <v>281.62</v>
      </c>
      <c r="F110" s="30">
        <f>IFERROR(__xludf.DUMMYFUNCTION("""COMPUTED_VALUE"""),285.34)</f>
        <v>285.34</v>
      </c>
      <c r="G110" s="31">
        <f>IFERROR(__xludf.DUMMYFUNCTION("""COMPUTED_VALUE"""),2.3103777E7)</f>
        <v>23103777</v>
      </c>
      <c r="H110" s="10"/>
    </row>
    <row r="111" ht="17.25" customHeight="1">
      <c r="A111" s="10"/>
      <c r="B111" s="29">
        <f>IFERROR(__xludf.DUMMYFUNCTION("""COMPUTED_VALUE"""),45968.66666666667)</f>
        <v>45968.66667</v>
      </c>
      <c r="C111" s="30">
        <f>IFERROR(__xludf.DUMMYFUNCTION("""COMPUTED_VALUE"""),284.21)</f>
        <v>284.21</v>
      </c>
      <c r="D111" s="30">
        <f>IFERROR(__xludf.DUMMYFUNCTION("""COMPUTED_VALUE"""),284.5)</f>
        <v>284.5</v>
      </c>
      <c r="E111" s="30">
        <f>IFERROR(__xludf.DUMMYFUNCTION("""COMPUTED_VALUE"""),275.74)</f>
        <v>275.74</v>
      </c>
      <c r="F111" s="30">
        <f>IFERROR(__xludf.DUMMYFUNCTION("""COMPUTED_VALUE"""),279.7)</f>
        <v>279.7</v>
      </c>
      <c r="G111" s="31">
        <f>IFERROR(__xludf.DUMMYFUNCTION("""COMPUTED_VALUE"""),2.1991128E7)</f>
        <v>21991128</v>
      </c>
      <c r="H111" s="10"/>
    </row>
    <row r="112" ht="17.25" customHeight="1">
      <c r="A112" s="10"/>
      <c r="B112" s="29">
        <f>IFERROR(__xludf.DUMMYFUNCTION("""COMPUTED_VALUE"""),45971.66666666667)</f>
        <v>45971.66667</v>
      </c>
      <c r="C112" s="30">
        <f>IFERROR(__xludf.DUMMYFUNCTION("""COMPUTED_VALUE"""),285.27)</f>
        <v>285.27</v>
      </c>
      <c r="D112" s="30">
        <f>IFERROR(__xludf.DUMMYFUNCTION("""COMPUTED_VALUE"""),291.46)</f>
        <v>291.46</v>
      </c>
      <c r="E112" s="30">
        <f>IFERROR(__xludf.DUMMYFUNCTION("""COMPUTED_VALUE"""),283.54)</f>
        <v>283.54</v>
      </c>
      <c r="F112" s="30">
        <f>IFERROR(__xludf.DUMMYFUNCTION("""COMPUTED_VALUE"""),290.59)</f>
        <v>290.59</v>
      </c>
      <c r="G112" s="31">
        <f>IFERROR(__xludf.DUMMYFUNCTION("""COMPUTED_VALUE"""),1.9508185E7)</f>
        <v>19508185</v>
      </c>
      <c r="H112" s="10"/>
    </row>
    <row r="113" ht="17.25" customHeight="1">
      <c r="A113" s="10"/>
      <c r="B113" s="29">
        <f>IFERROR(__xludf.DUMMYFUNCTION("""COMPUTED_VALUE"""),45972.66666666667)</f>
        <v>45972.66667</v>
      </c>
      <c r="C113" s="30">
        <f>IFERROR(__xludf.DUMMYFUNCTION("""COMPUTED_VALUE"""),288.2)</f>
        <v>288.2</v>
      </c>
      <c r="D113" s="30">
        <f>IFERROR(__xludf.DUMMYFUNCTION("""COMPUTED_VALUE"""),292.34)</f>
        <v>292.34</v>
      </c>
      <c r="E113" s="30">
        <f>IFERROR(__xludf.DUMMYFUNCTION("""COMPUTED_VALUE"""),287.88)</f>
        <v>287.88</v>
      </c>
      <c r="F113" s="30">
        <f>IFERROR(__xludf.DUMMYFUNCTION("""COMPUTED_VALUE"""),291.74)</f>
        <v>291.74</v>
      </c>
      <c r="G113" s="31">
        <f>IFERROR(__xludf.DUMMYFUNCTION("""COMPUTED_VALUE"""),1.4156729E7)</f>
        <v>14156729</v>
      </c>
      <c r="H113" s="10"/>
    </row>
    <row r="114" ht="17.25" customHeight="1">
      <c r="A114" s="10"/>
      <c r="B114" s="29">
        <f>IFERROR(__xludf.DUMMYFUNCTION("""COMPUTED_VALUE"""),45973.66666666667)</f>
        <v>45973.66667</v>
      </c>
      <c r="C114" s="30">
        <f>IFERROR(__xludf.DUMMYFUNCTION("""COMPUTED_VALUE"""),292.08)</f>
        <v>292.08</v>
      </c>
      <c r="D114" s="30">
        <f>IFERROR(__xludf.DUMMYFUNCTION("""COMPUTED_VALUE"""),292.36)</f>
        <v>292.36</v>
      </c>
      <c r="E114" s="30">
        <f>IFERROR(__xludf.DUMMYFUNCTION("""COMPUTED_VALUE"""),284.38)</f>
        <v>284.38</v>
      </c>
      <c r="F114" s="30">
        <f>IFERROR(__xludf.DUMMYFUNCTION("""COMPUTED_VALUE"""),287.43)</f>
        <v>287.43</v>
      </c>
      <c r="G114" s="31">
        <f>IFERROR(__xludf.DUMMYFUNCTION("""COMPUTED_VALUE"""),1.6998821E7)</f>
        <v>16998821</v>
      </c>
      <c r="H114" s="10"/>
    </row>
    <row r="115" ht="17.25" customHeight="1">
      <c r="A115" s="10"/>
      <c r="B115" s="29">
        <f>IFERROR(__xludf.DUMMYFUNCTION("""COMPUTED_VALUE"""),45974.66666666667)</f>
        <v>45974.66667</v>
      </c>
      <c r="C115" s="30">
        <f>IFERROR(__xludf.DUMMYFUNCTION("""COMPUTED_VALUE"""),282.99)</f>
        <v>282.99</v>
      </c>
      <c r="D115" s="30">
        <f>IFERROR(__xludf.DUMMYFUNCTION("""COMPUTED_VALUE"""),283.51)</f>
        <v>283.51</v>
      </c>
      <c r="E115" s="30">
        <f>IFERROR(__xludf.DUMMYFUNCTION("""COMPUTED_VALUE"""),278.0)</f>
        <v>278</v>
      </c>
      <c r="F115" s="30">
        <f>IFERROR(__xludf.DUMMYFUNCTION("""COMPUTED_VALUE"""),279.12)</f>
        <v>279.12</v>
      </c>
      <c r="G115" s="31">
        <f>IFERROR(__xludf.DUMMYFUNCTION("""COMPUTED_VALUE"""),1.8060224E7)</f>
        <v>18060224</v>
      </c>
      <c r="H115" s="10"/>
    </row>
    <row r="116" ht="17.25" customHeight="1">
      <c r="A116" s="10"/>
      <c r="B116" s="29">
        <f>IFERROR(__xludf.DUMMYFUNCTION("""COMPUTED_VALUE"""),45975.66666666667)</f>
        <v>45975.66667</v>
      </c>
      <c r="C116" s="30">
        <f>IFERROR(__xludf.DUMMYFUNCTION("""COMPUTED_VALUE"""),271.9)</f>
        <v>271.9</v>
      </c>
      <c r="D116" s="30">
        <f>IFERROR(__xludf.DUMMYFUNCTION("""COMPUTED_VALUE"""),279.15)</f>
        <v>279.15</v>
      </c>
      <c r="E116" s="30">
        <f>IFERROR(__xludf.DUMMYFUNCTION("""COMPUTED_VALUE"""),271.41)</f>
        <v>271.41</v>
      </c>
      <c r="F116" s="30">
        <f>IFERROR(__xludf.DUMMYFUNCTION("""COMPUTED_VALUE"""),276.98)</f>
        <v>276.98</v>
      </c>
      <c r="G116" s="31">
        <f>IFERROR(__xludf.DUMMYFUNCTION("""COMPUTED_VALUE"""),1.8330487E7)</f>
        <v>18330487</v>
      </c>
      <c r="H116" s="10"/>
    </row>
    <row r="117" ht="17.25" customHeight="1">
      <c r="A117" s="10"/>
      <c r="B117" s="29">
        <f>IFERROR(__xludf.DUMMYFUNCTION("""COMPUTED_VALUE"""),45978.66666666667)</f>
        <v>45978.66667</v>
      </c>
      <c r="C117" s="30">
        <f>IFERROR(__xludf.DUMMYFUNCTION("""COMPUTED_VALUE"""),286.4)</f>
        <v>286.4</v>
      </c>
      <c r="D117" s="30">
        <f>IFERROR(__xludf.DUMMYFUNCTION("""COMPUTED_VALUE"""),294.52)</f>
        <v>294.52</v>
      </c>
      <c r="E117" s="30">
        <f>IFERROR(__xludf.DUMMYFUNCTION("""COMPUTED_VALUE"""),284.23)</f>
        <v>284.23</v>
      </c>
      <c r="F117" s="30">
        <f>IFERROR(__xludf.DUMMYFUNCTION("""COMPUTED_VALUE"""),285.6)</f>
        <v>285.6</v>
      </c>
      <c r="G117" s="31">
        <f>IFERROR(__xludf.DUMMYFUNCTION("""COMPUTED_VALUE"""),3.4286093E7)</f>
        <v>34286093</v>
      </c>
      <c r="H117" s="10"/>
    </row>
    <row r="118" ht="17.25" customHeight="1">
      <c r="A118" s="10"/>
      <c r="B118" s="29">
        <f>IFERROR(__xludf.DUMMYFUNCTION("""COMPUTED_VALUE"""),45979.66666666667)</f>
        <v>45979.66667</v>
      </c>
      <c r="C118" s="30">
        <f>IFERROR(__xludf.DUMMYFUNCTION("""COMPUTED_VALUE"""),288.49)</f>
        <v>288.49</v>
      </c>
      <c r="D118" s="30">
        <f>IFERROR(__xludf.DUMMYFUNCTION("""COMPUTED_VALUE"""),289.44)</f>
        <v>289.44</v>
      </c>
      <c r="E118" s="30">
        <f>IFERROR(__xludf.DUMMYFUNCTION("""COMPUTED_VALUE"""),279.01)</f>
        <v>279.01</v>
      </c>
      <c r="F118" s="30">
        <f>IFERROR(__xludf.DUMMYFUNCTION("""COMPUTED_VALUE"""),284.96)</f>
        <v>284.96</v>
      </c>
      <c r="G118" s="31">
        <f>IFERROR(__xludf.DUMMYFUNCTION("""COMPUTED_VALUE"""),2.9702228E7)</f>
        <v>29702228</v>
      </c>
      <c r="H118" s="10"/>
    </row>
    <row r="119" ht="17.25" customHeight="1">
      <c r="A119" s="10"/>
      <c r="B119" s="29">
        <f>IFERROR(__xludf.DUMMYFUNCTION("""COMPUTED_VALUE"""),45980.66666666667)</f>
        <v>45980.66667</v>
      </c>
      <c r="C119" s="30">
        <f>IFERROR(__xludf.DUMMYFUNCTION("""COMPUTED_VALUE"""),287.69)</f>
        <v>287.69</v>
      </c>
      <c r="D119" s="30">
        <f>IFERROR(__xludf.DUMMYFUNCTION("""COMPUTED_VALUE"""),304.25)</f>
        <v>304.25</v>
      </c>
      <c r="E119" s="30">
        <f>IFERROR(__xludf.DUMMYFUNCTION("""COMPUTED_VALUE"""),287.67)</f>
        <v>287.67</v>
      </c>
      <c r="F119" s="30">
        <f>IFERROR(__xludf.DUMMYFUNCTION("""COMPUTED_VALUE"""),292.99)</f>
        <v>292.99</v>
      </c>
      <c r="G119" s="31">
        <f>IFERROR(__xludf.DUMMYFUNCTION("""COMPUTED_VALUE"""),4.3123599E7)</f>
        <v>43123599</v>
      </c>
      <c r="H119" s="10"/>
    </row>
    <row r="120" ht="17.25" customHeight="1">
      <c r="A120" s="10"/>
      <c r="B120" s="29">
        <f>IFERROR(__xludf.DUMMYFUNCTION("""COMPUTED_VALUE"""),45981.66666666667)</f>
        <v>45981.66667</v>
      </c>
      <c r="C120" s="30">
        <f>IFERROR(__xludf.DUMMYFUNCTION("""COMPUTED_VALUE"""),304.74)</f>
        <v>304.74</v>
      </c>
      <c r="D120" s="30">
        <f>IFERROR(__xludf.DUMMYFUNCTION("""COMPUTED_VALUE"""),306.89)</f>
        <v>306.89</v>
      </c>
      <c r="E120" s="30">
        <f>IFERROR(__xludf.DUMMYFUNCTION("""COMPUTED_VALUE"""),289.17)</f>
        <v>289.17</v>
      </c>
      <c r="F120" s="30">
        <f>IFERROR(__xludf.DUMMYFUNCTION("""COMPUTED_VALUE"""),289.98)</f>
        <v>289.98</v>
      </c>
      <c r="G120" s="31">
        <f>IFERROR(__xludf.DUMMYFUNCTION("""COMPUTED_VALUE"""),3.4801371E7)</f>
        <v>34801371</v>
      </c>
      <c r="H120" s="10"/>
    </row>
    <row r="121" ht="17.25" customHeight="1">
      <c r="A121" s="10"/>
      <c r="B121" s="29">
        <f>IFERROR(__xludf.DUMMYFUNCTION("""COMPUTED_VALUE"""),45982.66666666667)</f>
        <v>45982.66667</v>
      </c>
      <c r="C121" s="30">
        <f>IFERROR(__xludf.DUMMYFUNCTION("""COMPUTED_VALUE"""),296.87)</f>
        <v>296.87</v>
      </c>
      <c r="D121" s="30">
        <f>IFERROR(__xludf.DUMMYFUNCTION("""COMPUTED_VALUE"""),303.96)</f>
        <v>303.96</v>
      </c>
      <c r="E121" s="30">
        <f>IFERROR(__xludf.DUMMYFUNCTION("""COMPUTED_VALUE"""),294.36)</f>
        <v>294.36</v>
      </c>
      <c r="F121" s="30">
        <f>IFERROR(__xludf.DUMMYFUNCTION("""COMPUTED_VALUE"""),299.65)</f>
        <v>299.65</v>
      </c>
      <c r="G121" s="31">
        <f>IFERROR(__xludf.DUMMYFUNCTION("""COMPUTED_VALUE"""),4.3670586E7)</f>
        <v>43670586</v>
      </c>
      <c r="H121" s="10"/>
    </row>
    <row r="122" ht="17.25" customHeight="1">
      <c r="A122" s="10"/>
      <c r="B122" s="29">
        <f>IFERROR(__xludf.DUMMYFUNCTION("""COMPUTED_VALUE"""),45985.66666666667)</f>
        <v>45985.66667</v>
      </c>
      <c r="C122" s="30">
        <f>IFERROR(__xludf.DUMMYFUNCTION("""COMPUTED_VALUE"""),311.01)</f>
        <v>311.01</v>
      </c>
      <c r="D122" s="30">
        <f>IFERROR(__xludf.DUMMYFUNCTION("""COMPUTED_VALUE"""),319.8)</f>
        <v>319.8</v>
      </c>
      <c r="E122" s="30">
        <f>IFERROR(__xludf.DUMMYFUNCTION("""COMPUTED_VALUE"""),309.4)</f>
        <v>309.4</v>
      </c>
      <c r="F122" s="30">
        <f>IFERROR(__xludf.DUMMYFUNCTION("""COMPUTED_VALUE"""),318.47)</f>
        <v>318.47</v>
      </c>
      <c r="G122" s="31">
        <f>IFERROR(__xludf.DUMMYFUNCTION("""COMPUTED_VALUE"""),5.5311838E7)</f>
        <v>55311838</v>
      </c>
      <c r="H122" s="10"/>
    </row>
    <row r="123" ht="17.25" customHeight="1">
      <c r="A123" s="10"/>
      <c r="B123" s="29">
        <f>IFERROR(__xludf.DUMMYFUNCTION("""COMPUTED_VALUE"""),45986.66666666667)</f>
        <v>45986.66667</v>
      </c>
      <c r="C123" s="30">
        <f>IFERROR(__xludf.DUMMYFUNCTION("""COMPUTED_VALUE"""),326.8)</f>
        <v>326.8</v>
      </c>
      <c r="D123" s="30">
        <f>IFERROR(__xludf.DUMMYFUNCTION("""COMPUTED_VALUE"""),328.67)</f>
        <v>328.67</v>
      </c>
      <c r="E123" s="30">
        <f>IFERROR(__xludf.DUMMYFUNCTION("""COMPUTED_VALUE"""),317.82)</f>
        <v>317.82</v>
      </c>
      <c r="F123" s="30">
        <f>IFERROR(__xludf.DUMMYFUNCTION("""COMPUTED_VALUE"""),323.64)</f>
        <v>323.64</v>
      </c>
      <c r="G123" s="31">
        <f>IFERROR(__xludf.DUMMYFUNCTION("""COMPUTED_VALUE"""),5.0899309E7)</f>
        <v>50899309</v>
      </c>
      <c r="H123" s="10"/>
    </row>
    <row r="124" ht="17.25" customHeight="1">
      <c r="A124" s="10"/>
      <c r="B124" s="29">
        <f>IFERROR(__xludf.DUMMYFUNCTION("""COMPUTED_VALUE"""),45987.66666666667)</f>
        <v>45987.66667</v>
      </c>
      <c r="C124" s="30">
        <f>IFERROR(__xludf.DUMMYFUNCTION("""COMPUTED_VALUE"""),320.78)</f>
        <v>320.78</v>
      </c>
      <c r="D124" s="30">
        <f>IFERROR(__xludf.DUMMYFUNCTION("""COMPUTED_VALUE"""),324.99)</f>
        <v>324.99</v>
      </c>
      <c r="E124" s="30">
        <f>IFERROR(__xludf.DUMMYFUNCTION("""COMPUTED_VALUE"""),317.2)</f>
        <v>317.2</v>
      </c>
      <c r="F124" s="30">
        <f>IFERROR(__xludf.DUMMYFUNCTION("""COMPUTED_VALUE"""),320.28)</f>
        <v>320.28</v>
      </c>
      <c r="G124" s="31">
        <f>IFERROR(__xludf.DUMMYFUNCTION("""COMPUTED_VALUE"""),2.9839577E7)</f>
        <v>29839577</v>
      </c>
      <c r="H124" s="10"/>
    </row>
    <row r="125" ht="17.25" customHeight="1">
      <c r="A125" s="10"/>
      <c r="B125" s="29">
        <f>IFERROR(__xludf.DUMMYFUNCTION("""COMPUTED_VALUE"""),45989.54513888889)</f>
        <v>45989.54514</v>
      </c>
      <c r="C125" s="30">
        <f>IFERROR(__xludf.DUMMYFUNCTION("""COMPUTED_VALUE"""),323.43)</f>
        <v>323.43</v>
      </c>
      <c r="D125" s="30">
        <f>IFERROR(__xludf.DUMMYFUNCTION("""COMPUTED_VALUE"""),326.88)</f>
        <v>326.88</v>
      </c>
      <c r="E125" s="30">
        <f>IFERROR(__xludf.DUMMYFUNCTION("""COMPUTED_VALUE"""),316.94)</f>
        <v>316.94</v>
      </c>
      <c r="F125" s="30">
        <f>IFERROR(__xludf.DUMMYFUNCTION("""COMPUTED_VALUE"""),320.12)</f>
        <v>320.12</v>
      </c>
      <c r="G125" s="31">
        <f>IFERROR(__xludf.DUMMYFUNCTION("""COMPUTED_VALUE"""),1.9695811E7)</f>
        <v>19695811</v>
      </c>
      <c r="H125" s="10"/>
    </row>
    <row r="126" ht="17.25" customHeight="1">
      <c r="A126" s="10"/>
      <c r="B126" s="29">
        <f>IFERROR(__xludf.DUMMYFUNCTION("""COMPUTED_VALUE"""),45992.66666666667)</f>
        <v>45992.66667</v>
      </c>
      <c r="C126" s="30">
        <f>IFERROR(__xludf.DUMMYFUNCTION("""COMPUTED_VALUE"""),317.48)</f>
        <v>317.48</v>
      </c>
      <c r="D126" s="30">
        <f>IFERROR(__xludf.DUMMYFUNCTION("""COMPUTED_VALUE"""),319.63)</f>
        <v>319.63</v>
      </c>
      <c r="E126" s="30">
        <f>IFERROR(__xludf.DUMMYFUNCTION("""COMPUTED_VALUE"""),313.98)</f>
        <v>313.98</v>
      </c>
      <c r="F126" s="30">
        <f>IFERROR(__xludf.DUMMYFUNCTION("""COMPUTED_VALUE"""),315.12)</f>
        <v>315.12</v>
      </c>
      <c r="G126" s="31">
        <f>IFERROR(__xludf.DUMMYFUNCTION("""COMPUTED_VALUE"""),2.8520587E7)</f>
        <v>28520587</v>
      </c>
      <c r="H126" s="10"/>
    </row>
    <row r="127" ht="17.25" customHeight="1">
      <c r="A127" s="10"/>
      <c r="B127" s="29">
        <f>IFERROR(__xludf.DUMMYFUNCTION("""COMPUTED_VALUE"""),45993.66666666667)</f>
        <v>45993.66667</v>
      </c>
      <c r="C127" s="30">
        <f>IFERROR(__xludf.DUMMYFUNCTION("""COMPUTED_VALUE"""),316.9)</f>
        <v>316.9</v>
      </c>
      <c r="D127" s="30">
        <f>IFERROR(__xludf.DUMMYFUNCTION("""COMPUTED_VALUE"""),318.6)</f>
        <v>318.6</v>
      </c>
      <c r="E127" s="30">
        <f>IFERROR(__xludf.DUMMYFUNCTION("""COMPUTED_VALUE"""),314.22)</f>
        <v>314.22</v>
      </c>
      <c r="F127" s="30">
        <f>IFERROR(__xludf.DUMMYFUNCTION("""COMPUTED_VALUE"""),316.02)</f>
        <v>316.02</v>
      </c>
      <c r="G127" s="31">
        <f>IFERROR(__xludf.DUMMYFUNCTION("""COMPUTED_VALUE"""),2.4668179E7)</f>
        <v>24668179</v>
      </c>
      <c r="H127" s="10"/>
    </row>
    <row r="128" ht="17.25" customHeight="1">
      <c r="A128" s="10"/>
      <c r="B128" s="29">
        <f>IFERROR(__xludf.DUMMYFUNCTION("""COMPUTED_VALUE"""),45994.66666666667)</f>
        <v>45994.66667</v>
      </c>
      <c r="C128" s="30">
        <f>IFERROR(__xludf.DUMMYFUNCTION("""COMPUTED_VALUE"""),316.03)</f>
        <v>316.03</v>
      </c>
      <c r="D128" s="30">
        <f>IFERROR(__xludf.DUMMYFUNCTION("""COMPUTED_VALUE"""),322.04)</f>
        <v>322.04</v>
      </c>
      <c r="E128" s="30">
        <f>IFERROR(__xludf.DUMMYFUNCTION("""COMPUTED_VALUE"""),314.28)</f>
        <v>314.28</v>
      </c>
      <c r="F128" s="30">
        <f>IFERROR(__xludf.DUMMYFUNCTION("""COMPUTED_VALUE"""),320.62)</f>
        <v>320.62</v>
      </c>
      <c r="G128" s="31">
        <f>IFERROR(__xludf.DUMMYFUNCTION("""COMPUTED_VALUE"""),3.2285099E7)</f>
        <v>32285099</v>
      </c>
      <c r="H128" s="10"/>
    </row>
    <row r="129" ht="17.25" customHeight="1">
      <c r="A129" s="10"/>
      <c r="B129" s="29">
        <f>IFERROR(__xludf.DUMMYFUNCTION("""COMPUTED_VALUE"""),45995.66666666667)</f>
        <v>45995.66667</v>
      </c>
      <c r="C129" s="30">
        <f>IFERROR(__xludf.DUMMYFUNCTION("""COMPUTED_VALUE"""),323.05)</f>
        <v>323.05</v>
      </c>
      <c r="D129" s="30">
        <f>IFERROR(__xludf.DUMMYFUNCTION("""COMPUTED_VALUE"""),323.1)</f>
        <v>323.1</v>
      </c>
      <c r="E129" s="30">
        <f>IFERROR(__xludf.DUMMYFUNCTION("""COMPUTED_VALUE"""),315.59)</f>
        <v>315.59</v>
      </c>
      <c r="F129" s="30">
        <f>IFERROR(__xludf.DUMMYFUNCTION("""COMPUTED_VALUE"""),318.39)</f>
        <v>318.39</v>
      </c>
      <c r="G129" s="31">
        <f>IFERROR(__xludf.DUMMYFUNCTION("""COMPUTED_VALUE"""),2.0831597E7)</f>
        <v>20831597</v>
      </c>
      <c r="H129" s="10"/>
    </row>
    <row r="130" ht="17.25" customHeight="1">
      <c r="A130" s="10"/>
      <c r="B130" s="29">
        <f>IFERROR(__xludf.DUMMYFUNCTION("""COMPUTED_VALUE"""),45996.66666666667)</f>
        <v>45996.66667</v>
      </c>
      <c r="C130" s="30">
        <f>IFERROR(__xludf.DUMMYFUNCTION("""COMPUTED_VALUE"""),320.0)</f>
        <v>320</v>
      </c>
      <c r="D130" s="30">
        <f>IFERROR(__xludf.DUMMYFUNCTION("""COMPUTED_VALUE"""),323.83)</f>
        <v>323.83</v>
      </c>
      <c r="E130" s="30">
        <f>IFERROR(__xludf.DUMMYFUNCTION("""COMPUTED_VALUE"""),319.98)</f>
        <v>319.98</v>
      </c>
      <c r="F130" s="30">
        <f>IFERROR(__xludf.DUMMYFUNCTION("""COMPUTED_VALUE"""),322.09)</f>
        <v>322.09</v>
      </c>
      <c r="G130" s="31">
        <f>IFERROR(__xludf.DUMMYFUNCTION("""COMPUTED_VALUE"""),1.5719851E7)</f>
        <v>15719851</v>
      </c>
      <c r="H130" s="10"/>
    </row>
    <row r="131" ht="17.25" customHeight="1">
      <c r="A131" s="10"/>
      <c r="B131" s="29">
        <f>IFERROR(__xludf.DUMMYFUNCTION("""COMPUTED_VALUE"""),45999.66666666667)</f>
        <v>45999.66667</v>
      </c>
      <c r="C131" s="30">
        <f>IFERROR(__xludf.DUMMYFUNCTION("""COMPUTED_VALUE"""),321.03)</f>
        <v>321.03</v>
      </c>
      <c r="D131" s="30">
        <f>IFERROR(__xludf.DUMMYFUNCTION("""COMPUTED_VALUE"""),321.23)</f>
        <v>321.23</v>
      </c>
      <c r="E131" s="30">
        <f>IFERROR(__xludf.DUMMYFUNCTION("""COMPUTED_VALUE"""),311.91)</f>
        <v>311.91</v>
      </c>
      <c r="F131" s="30">
        <f>IFERROR(__xludf.DUMMYFUNCTION("""COMPUTED_VALUE"""),314.45)</f>
        <v>314.45</v>
      </c>
      <c r="G131" s="31">
        <f>IFERROR(__xludf.DUMMYFUNCTION("""COMPUTED_VALUE"""),2.2006891E7)</f>
        <v>22006891</v>
      </c>
      <c r="H131" s="10"/>
    </row>
    <row r="132" ht="17.25" customHeight="1">
      <c r="A132" s="10"/>
      <c r="B132" s="29">
        <f>IFERROR(__xludf.DUMMYFUNCTION("""COMPUTED_VALUE"""),46000.66666666667)</f>
        <v>46000.66667</v>
      </c>
      <c r="C132" s="30">
        <f>IFERROR(__xludf.DUMMYFUNCTION("""COMPUTED_VALUE"""),313.1)</f>
        <v>313.1</v>
      </c>
      <c r="D132" s="30">
        <f>IFERROR(__xludf.DUMMYFUNCTION("""COMPUTED_VALUE"""),318.71)</f>
        <v>318.71</v>
      </c>
      <c r="E132" s="30">
        <f>IFERROR(__xludf.DUMMYFUNCTION("""COMPUTED_VALUE"""),312.62)</f>
        <v>312.62</v>
      </c>
      <c r="F132" s="30">
        <f>IFERROR(__xludf.DUMMYFUNCTION("""COMPUTED_VALUE"""),317.75)</f>
        <v>317.75</v>
      </c>
      <c r="G132" s="31">
        <f>IFERROR(__xludf.DUMMYFUNCTION("""COMPUTED_VALUE"""),1.4151337E7)</f>
        <v>14151337</v>
      </c>
      <c r="H132" s="10"/>
    </row>
    <row r="133" ht="17.25" customHeight="1">
      <c r="A133" s="10"/>
      <c r="B133" s="29">
        <f>IFERROR(__xludf.DUMMYFUNCTION("""COMPUTED_VALUE"""),46001.66666666667)</f>
        <v>46001.66667</v>
      </c>
      <c r="C133" s="30">
        <f>IFERROR(__xludf.DUMMYFUNCTION("""COMPUTED_VALUE"""),316.62)</f>
        <v>316.62</v>
      </c>
      <c r="D133" s="30">
        <f>IFERROR(__xludf.DUMMYFUNCTION("""COMPUTED_VALUE"""),321.87)</f>
        <v>321.87</v>
      </c>
      <c r="E133" s="30">
        <f>IFERROR(__xludf.DUMMYFUNCTION("""COMPUTED_VALUE"""),315.4)</f>
        <v>315.4</v>
      </c>
      <c r="F133" s="30">
        <f>IFERROR(__xludf.DUMMYFUNCTION("""COMPUTED_VALUE"""),321.0)</f>
        <v>321</v>
      </c>
      <c r="G133" s="31">
        <f>IFERROR(__xludf.DUMMYFUNCTION("""COMPUTED_VALUE"""),2.2764499E7)</f>
        <v>22764499</v>
      </c>
      <c r="H133" s="10"/>
    </row>
    <row r="134" ht="17.25" customHeight="1">
      <c r="A134" s="10"/>
      <c r="B134" s="29">
        <f>IFERROR(__xludf.DUMMYFUNCTION("""COMPUTED_VALUE"""),46002.66666666667)</f>
        <v>46002.66667</v>
      </c>
      <c r="C134" s="30">
        <f>IFERROR(__xludf.DUMMYFUNCTION("""COMPUTED_VALUE"""),321.1)</f>
        <v>321.1</v>
      </c>
      <c r="D134" s="30">
        <f>IFERROR(__xludf.DUMMYFUNCTION("""COMPUTED_VALUE"""),321.99)</f>
        <v>321.99</v>
      </c>
      <c r="E134" s="30">
        <f>IFERROR(__xludf.DUMMYFUNCTION("""COMPUTED_VALUE"""),309.88)</f>
        <v>309.88</v>
      </c>
      <c r="F134" s="30">
        <f>IFERROR(__xludf.DUMMYFUNCTION("""COMPUTED_VALUE"""),313.7)</f>
        <v>313.7</v>
      </c>
      <c r="G134" s="31">
        <f>IFERROR(__xludf.DUMMYFUNCTION("""COMPUTED_VALUE"""),2.5912059E7)</f>
        <v>25912059</v>
      </c>
      <c r="H134" s="10"/>
    </row>
    <row r="135" ht="17.25" customHeight="1">
      <c r="A135" s="10"/>
      <c r="B135" s="29">
        <f>IFERROR(__xludf.DUMMYFUNCTION("""COMPUTED_VALUE"""),46003.66666666667)</f>
        <v>46003.66667</v>
      </c>
      <c r="C135" s="30">
        <f>IFERROR(__xludf.DUMMYFUNCTION("""COMPUTED_VALUE"""),314.8)</f>
        <v>314.8</v>
      </c>
      <c r="D135" s="30">
        <f>IFERROR(__xludf.DUMMYFUNCTION("""COMPUTED_VALUE"""),316.14)</f>
        <v>316.14</v>
      </c>
      <c r="E135" s="30">
        <f>IFERROR(__xludf.DUMMYFUNCTION("""COMPUTED_VALUE"""),306.96)</f>
        <v>306.96</v>
      </c>
      <c r="F135" s="30">
        <f>IFERROR(__xludf.DUMMYFUNCTION("""COMPUTED_VALUE"""),310.52)</f>
        <v>310.52</v>
      </c>
      <c r="G135" s="31">
        <f>IFERROR(__xludf.DUMMYFUNCTION("""COMPUTED_VALUE"""),2.1264787E7)</f>
        <v>21264787</v>
      </c>
      <c r="H135" s="10"/>
    </row>
    <row r="136" ht="17.25" customHeight="1">
      <c r="A136" s="10"/>
      <c r="B136" s="29">
        <f>IFERROR(__xludf.DUMMYFUNCTION("""COMPUTED_VALUE"""),46006.66666666667)</f>
        <v>46006.66667</v>
      </c>
      <c r="C136" s="30">
        <f>IFERROR(__xludf.DUMMYFUNCTION("""COMPUTED_VALUE"""),312.63)</f>
        <v>312.63</v>
      </c>
      <c r="D136" s="30">
        <f>IFERROR(__xludf.DUMMYFUNCTION("""COMPUTED_VALUE"""),312.7)</f>
        <v>312.7</v>
      </c>
      <c r="E136" s="30">
        <f>IFERROR(__xludf.DUMMYFUNCTION("""COMPUTED_VALUE"""),305.74)</f>
        <v>305.74</v>
      </c>
      <c r="F136" s="30">
        <f>IFERROR(__xludf.DUMMYFUNCTION("""COMPUTED_VALUE"""),309.32)</f>
        <v>309.32</v>
      </c>
      <c r="G136" s="31">
        <f>IFERROR(__xludf.DUMMYFUNCTION("""COMPUTED_VALUE"""),2.2028947E7)</f>
        <v>22028947</v>
      </c>
      <c r="H136" s="10"/>
    </row>
    <row r="137" ht="17.25" customHeight="1">
      <c r="A137" s="10"/>
      <c r="B137" s="29">
        <f>IFERROR(__xludf.DUMMYFUNCTION("""COMPUTED_VALUE"""),46007.66666666667)</f>
        <v>46007.66667</v>
      </c>
      <c r="C137" s="30">
        <f>IFERROR(__xludf.DUMMYFUNCTION("""COMPUTED_VALUE"""),306.0)</f>
        <v>306</v>
      </c>
      <c r="D137" s="30">
        <f>IFERROR(__xludf.DUMMYFUNCTION("""COMPUTED_VALUE"""),311.85)</f>
        <v>311.85</v>
      </c>
      <c r="E137" s="30">
        <f>IFERROR(__xludf.DUMMYFUNCTION("""COMPUTED_VALUE"""),303.83)</f>
        <v>303.83</v>
      </c>
      <c r="F137" s="30">
        <f>IFERROR(__xludf.DUMMYFUNCTION("""COMPUTED_VALUE"""),307.73)</f>
        <v>307.73</v>
      </c>
      <c r="G137" s="31">
        <f>IFERROR(__xludf.DUMMYFUNCTION("""COMPUTED_VALUE"""),2.1285166E7)</f>
        <v>21285166</v>
      </c>
      <c r="H137" s="10"/>
    </row>
    <row r="138" ht="17.25" customHeight="1">
      <c r="A138" s="10"/>
      <c r="B138" s="29">
        <f>IFERROR(__xludf.DUMMYFUNCTION("""COMPUTED_VALUE"""),46008.66666666667)</f>
        <v>46008.66667</v>
      </c>
      <c r="C138" s="30">
        <f>IFERROR(__xludf.DUMMYFUNCTION("""COMPUTED_VALUE"""),309.01)</f>
        <v>309.01</v>
      </c>
      <c r="D138" s="30">
        <f>IFERROR(__xludf.DUMMYFUNCTION("""COMPUTED_VALUE"""),309.2)</f>
        <v>309.2</v>
      </c>
      <c r="E138" s="30">
        <f>IFERROR(__xludf.DUMMYFUNCTION("""COMPUTED_VALUE"""),297.45)</f>
        <v>297.45</v>
      </c>
      <c r="F138" s="30">
        <f>IFERROR(__xludf.DUMMYFUNCTION("""COMPUTED_VALUE"""),298.06)</f>
        <v>298.06</v>
      </c>
      <c r="G138" s="31">
        <f>IFERROR(__xludf.DUMMYFUNCTION("""COMPUTED_VALUE"""),2.9120355E7)</f>
        <v>29120355</v>
      </c>
      <c r="H138" s="10"/>
    </row>
    <row r="139" ht="17.25" customHeight="1">
      <c r="A139" s="10"/>
      <c r="B139" s="29">
        <f>IFERROR(__xludf.DUMMYFUNCTION("""COMPUTED_VALUE"""),46009.66666666667)</f>
        <v>46009.66667</v>
      </c>
      <c r="C139" s="30">
        <f>IFERROR(__xludf.DUMMYFUNCTION("""COMPUTED_VALUE"""),303.06)</f>
        <v>303.06</v>
      </c>
      <c r="D139" s="30">
        <f>IFERROR(__xludf.DUMMYFUNCTION("""COMPUTED_VALUE"""),305.26)</f>
        <v>305.26</v>
      </c>
      <c r="E139" s="30">
        <f>IFERROR(__xludf.DUMMYFUNCTION("""COMPUTED_VALUE"""),300.63)</f>
        <v>300.63</v>
      </c>
      <c r="F139" s="30">
        <f>IFERROR(__xludf.DUMMYFUNCTION("""COMPUTED_VALUE"""),303.75)</f>
        <v>303.75</v>
      </c>
      <c r="G139" s="31">
        <f>IFERROR(__xludf.DUMMYFUNCTION("""COMPUTED_VALUE"""),2.1040496E7)</f>
        <v>21040496</v>
      </c>
      <c r="H139" s="10"/>
    </row>
    <row r="140" ht="17.25" customHeight="1">
      <c r="A140" s="10"/>
      <c r="B140" s="29">
        <f>IFERROR(__xludf.DUMMYFUNCTION("""COMPUTED_VALUE"""),46010.66666666667)</f>
        <v>46010.66667</v>
      </c>
      <c r="C140" s="30">
        <f>IFERROR(__xludf.DUMMYFUNCTION("""COMPUTED_VALUE"""),303.27)</f>
        <v>303.27</v>
      </c>
      <c r="D140" s="30">
        <f>IFERROR(__xludf.DUMMYFUNCTION("""COMPUTED_VALUE"""),308.99)</f>
        <v>308.99</v>
      </c>
      <c r="E140" s="30">
        <f>IFERROR(__xludf.DUMMYFUNCTION("""COMPUTED_VALUE"""),302.34)</f>
        <v>302.34</v>
      </c>
      <c r="F140" s="30">
        <f>IFERROR(__xludf.DUMMYFUNCTION("""COMPUTED_VALUE"""),308.61)</f>
        <v>308.61</v>
      </c>
      <c r="G140" s="31">
        <f>IFERROR(__xludf.DUMMYFUNCTION("""COMPUTED_VALUE"""),4.523443E7)</f>
        <v>45234430</v>
      </c>
      <c r="H140" s="10"/>
    </row>
    <row r="141" ht="17.25" customHeight="1">
      <c r="A141" s="10"/>
      <c r="B141" s="29">
        <f>IFERROR(__xludf.DUMMYFUNCTION("""COMPUTED_VALUE"""),46013.66666666667)</f>
        <v>46013.66667</v>
      </c>
      <c r="C141" s="30">
        <f>IFERROR(__xludf.DUMMYFUNCTION("""COMPUTED_VALUE"""),311.23)</f>
        <v>311.23</v>
      </c>
      <c r="D141" s="30">
        <f>IFERROR(__xludf.DUMMYFUNCTION("""COMPUTED_VALUE"""),311.7)</f>
        <v>311.7</v>
      </c>
      <c r="E141" s="30">
        <f>IFERROR(__xludf.DUMMYFUNCTION("""COMPUTED_VALUE"""),306.59)</f>
        <v>306.59</v>
      </c>
      <c r="F141" s="30">
        <f>IFERROR(__xludf.DUMMYFUNCTION("""COMPUTED_VALUE"""),311.33)</f>
        <v>311.33</v>
      </c>
      <c r="G141" s="31">
        <f>IFERROR(__xludf.DUMMYFUNCTION("""COMPUTED_VALUE"""),1.4091373E7)</f>
        <v>14091373</v>
      </c>
      <c r="H141" s="10"/>
    </row>
    <row r="142" ht="17.25" customHeight="1">
      <c r="A142" s="10"/>
      <c r="B142" s="29">
        <f>IFERROR(__xludf.DUMMYFUNCTION("""COMPUTED_VALUE"""),46014.66666666667)</f>
        <v>46014.66667</v>
      </c>
      <c r="C142" s="30">
        <f>IFERROR(__xludf.DUMMYFUNCTION("""COMPUTED_VALUE"""),311.14)</f>
        <v>311.14</v>
      </c>
      <c r="D142" s="30">
        <f>IFERROR(__xludf.DUMMYFUNCTION("""COMPUTED_VALUE"""),316.3)</f>
        <v>316.3</v>
      </c>
      <c r="E142" s="30">
        <f>IFERROR(__xludf.DUMMYFUNCTION("""COMPUTED_VALUE"""),310.75)</f>
        <v>310.75</v>
      </c>
      <c r="F142" s="30">
        <f>IFERROR(__xludf.DUMMYFUNCTION("""COMPUTED_VALUE"""),315.68)</f>
        <v>315.68</v>
      </c>
      <c r="G142" s="31">
        <f>IFERROR(__xludf.DUMMYFUNCTION("""COMPUTED_VALUE"""),1.3961424E7)</f>
        <v>13961424</v>
      </c>
      <c r="H142" s="10"/>
    </row>
    <row r="143" ht="17.25" customHeight="1">
      <c r="A143" s="10"/>
      <c r="B143" s="29">
        <f>IFERROR(__xludf.DUMMYFUNCTION("""COMPUTED_VALUE"""),46015.54513888889)</f>
        <v>46015.54514</v>
      </c>
      <c r="C143" s="30">
        <f>IFERROR(__xludf.DUMMYFUNCTION("""COMPUTED_VALUE"""),316.15)</f>
        <v>316.15</v>
      </c>
      <c r="D143" s="30">
        <f>IFERROR(__xludf.DUMMYFUNCTION("""COMPUTED_VALUE"""),316.29)</f>
        <v>316.29</v>
      </c>
      <c r="E143" s="30">
        <f>IFERROR(__xludf.DUMMYFUNCTION("""COMPUTED_VALUE"""),313.32)</f>
        <v>313.32</v>
      </c>
      <c r="F143" s="30">
        <f>IFERROR(__xludf.DUMMYFUNCTION("""COMPUTED_VALUE"""),315.67)</f>
        <v>315.67</v>
      </c>
      <c r="G143" s="31">
        <f>IFERROR(__xludf.DUMMYFUNCTION("""COMPUTED_VALUE"""),6138155.0)</f>
        <v>6138155</v>
      </c>
      <c r="H143" s="10"/>
    </row>
    <row r="144" ht="17.25" customHeight="1">
      <c r="A144" s="10"/>
      <c r="B144" s="29">
        <f>IFERROR(__xludf.DUMMYFUNCTION("""COMPUTED_VALUE"""),46017.66666666667)</f>
        <v>46017.66667</v>
      </c>
      <c r="C144" s="30">
        <f>IFERROR(__xludf.DUMMYFUNCTION("""COMPUTED_VALUE"""),315.92)</f>
        <v>315.92</v>
      </c>
      <c r="D144" s="30">
        <f>IFERROR(__xludf.DUMMYFUNCTION("""COMPUTED_VALUE"""),316.56)</f>
        <v>316.56</v>
      </c>
      <c r="E144" s="30">
        <f>IFERROR(__xludf.DUMMYFUNCTION("""COMPUTED_VALUE"""),313.72)</f>
        <v>313.72</v>
      </c>
      <c r="F144" s="30">
        <f>IFERROR(__xludf.DUMMYFUNCTION("""COMPUTED_VALUE"""),314.96)</f>
        <v>314.96</v>
      </c>
      <c r="G144" s="31">
        <f>IFERROR(__xludf.DUMMYFUNCTION("""COMPUTED_VALUE"""),6730944.0)</f>
        <v>6730944</v>
      </c>
      <c r="H144" s="10"/>
    </row>
    <row r="145" ht="17.25" customHeight="1">
      <c r="A145" s="10"/>
      <c r="B145" s="29">
        <f>IFERROR(__xludf.DUMMYFUNCTION("""COMPUTED_VALUE"""),46020.66666666667)</f>
        <v>46020.66667</v>
      </c>
      <c r="C145" s="30">
        <f>IFERROR(__xludf.DUMMYFUNCTION("""COMPUTED_VALUE"""),312.82)</f>
        <v>312.82</v>
      </c>
      <c r="D145" s="30">
        <f>IFERROR(__xludf.DUMMYFUNCTION("""COMPUTED_VALUE"""),314.97)</f>
        <v>314.97</v>
      </c>
      <c r="E145" s="30">
        <f>IFERROR(__xludf.DUMMYFUNCTION("""COMPUTED_VALUE"""),311.9)</f>
        <v>311.9</v>
      </c>
      <c r="F145" s="30">
        <f>IFERROR(__xludf.DUMMYFUNCTION("""COMPUTED_VALUE"""),314.39)</f>
        <v>314.39</v>
      </c>
      <c r="G145" s="31">
        <f>IFERROR(__xludf.DUMMYFUNCTION("""COMPUTED_VALUE"""),1.2317693E7)</f>
        <v>12317693</v>
      </c>
      <c r="H145" s="10"/>
    </row>
    <row r="146" ht="17.25" customHeight="1">
      <c r="A146" s="10"/>
      <c r="B146" s="29">
        <f>IFERROR(__xludf.DUMMYFUNCTION("""COMPUTED_VALUE"""),46021.66666666667)</f>
        <v>46021.66667</v>
      </c>
      <c r="C146" s="30">
        <f>IFERROR(__xludf.DUMMYFUNCTION("""COMPUTED_VALUE"""),313.41)</f>
        <v>313.41</v>
      </c>
      <c r="D146" s="30">
        <f>IFERROR(__xludf.DUMMYFUNCTION("""COMPUTED_VALUE"""),317.7)</f>
        <v>317.7</v>
      </c>
      <c r="E146" s="30">
        <f>IFERROR(__xludf.DUMMYFUNCTION("""COMPUTED_VALUE"""),313.25)</f>
        <v>313.25</v>
      </c>
      <c r="F146" s="30">
        <f>IFERROR(__xludf.DUMMYFUNCTION("""COMPUTED_VALUE"""),314.55)</f>
        <v>314.55</v>
      </c>
      <c r="G146" s="31">
        <f>IFERROR(__xludf.DUMMYFUNCTION("""COMPUTED_VALUE"""),1.1052495E7)</f>
        <v>11052495</v>
      </c>
      <c r="H146" s="10"/>
    </row>
    <row r="147" ht="17.25" customHeight="1">
      <c r="A147" s="10"/>
      <c r="B147" s="29">
        <f>IFERROR(__xludf.DUMMYFUNCTION("""COMPUTED_VALUE"""),46022.66666666667)</f>
        <v>46022.66667</v>
      </c>
      <c r="C147" s="30">
        <f>IFERROR(__xludf.DUMMYFUNCTION("""COMPUTED_VALUE"""),313.37)</f>
        <v>313.37</v>
      </c>
      <c r="D147" s="30">
        <f>IFERROR(__xludf.DUMMYFUNCTION("""COMPUTED_VALUE"""),315.39)</f>
        <v>315.39</v>
      </c>
      <c r="E147" s="30">
        <f>IFERROR(__xludf.DUMMYFUNCTION("""COMPUTED_VALUE"""),312.2)</f>
        <v>312.2</v>
      </c>
      <c r="F147" s="30">
        <f>IFERROR(__xludf.DUMMYFUNCTION("""COMPUTED_VALUE"""),313.8)</f>
        <v>313.8</v>
      </c>
      <c r="G147" s="31">
        <f>IFERROR(__xludf.DUMMYFUNCTION("""COMPUTED_VALUE"""),1.0821502E7)</f>
        <v>10821502</v>
      </c>
      <c r="H147" s="10"/>
    </row>
    <row r="148" ht="17.25" customHeight="1">
      <c r="A148" s="10"/>
      <c r="B148" s="29">
        <f>IFERROR(__xludf.DUMMYFUNCTION("""COMPUTED_VALUE"""),46024.66666666667)</f>
        <v>46024.66667</v>
      </c>
      <c r="C148" s="30">
        <f>IFERROR(__xludf.DUMMYFUNCTION("""COMPUTED_VALUE"""),317.59)</f>
        <v>317.59</v>
      </c>
      <c r="D148" s="30">
        <f>IFERROR(__xludf.DUMMYFUNCTION("""COMPUTED_VALUE"""),322.91)</f>
        <v>322.91</v>
      </c>
      <c r="E148" s="30">
        <f>IFERROR(__xludf.DUMMYFUNCTION("""COMPUTED_VALUE"""),310.65)</f>
        <v>310.65</v>
      </c>
      <c r="F148" s="30">
        <f>IFERROR(__xludf.DUMMYFUNCTION("""COMPUTED_VALUE"""),315.32)</f>
        <v>315.32</v>
      </c>
      <c r="G148" s="31">
        <f>IFERROR(__xludf.DUMMYFUNCTION("""COMPUTED_VALUE"""),2.2043703E7)</f>
        <v>22043703</v>
      </c>
      <c r="H148" s="10"/>
    </row>
    <row r="149" ht="17.25" customHeight="1">
      <c r="A149" s="10"/>
      <c r="B149" s="29">
        <f>IFERROR(__xludf.DUMMYFUNCTION("""COMPUTED_VALUE"""),46027.66666666667)</f>
        <v>46027.66667</v>
      </c>
      <c r="C149" s="30">
        <f>IFERROR(__xludf.DUMMYFUNCTION("""COMPUTED_VALUE"""),317.7)</f>
        <v>317.7</v>
      </c>
      <c r="D149" s="30">
        <f>IFERROR(__xludf.DUMMYFUNCTION("""COMPUTED_VALUE"""),319.25)</f>
        <v>319.25</v>
      </c>
      <c r="E149" s="30">
        <f>IFERROR(__xludf.DUMMYFUNCTION("""COMPUTED_VALUE"""),315.25)</f>
        <v>315.25</v>
      </c>
      <c r="F149" s="30">
        <f>IFERROR(__xludf.DUMMYFUNCTION("""COMPUTED_VALUE"""),317.32)</f>
        <v>317.32</v>
      </c>
      <c r="G149" s="31">
        <f>IFERROR(__xludf.DUMMYFUNCTION("""COMPUTED_VALUE"""),1.9934019E7)</f>
        <v>19934019</v>
      </c>
      <c r="H149" s="10"/>
    </row>
    <row r="150" ht="17.25" customHeight="1">
      <c r="A150" s="10"/>
      <c r="B150" s="29">
        <f>IFERROR(__xludf.DUMMYFUNCTION("""COMPUTED_VALUE"""),46028.66666666667)</f>
        <v>46028.66667</v>
      </c>
      <c r="C150" s="30">
        <f>IFERROR(__xludf.DUMMYFUNCTION("""COMPUTED_VALUE"""),317.31)</f>
        <v>317.31</v>
      </c>
      <c r="D150" s="30">
        <f>IFERROR(__xludf.DUMMYFUNCTION("""COMPUTED_VALUE"""),321.56)</f>
        <v>321.56</v>
      </c>
      <c r="E150" s="30">
        <f>IFERROR(__xludf.DUMMYFUNCTION("""COMPUTED_VALUE"""),312.34)</f>
        <v>312.34</v>
      </c>
      <c r="F150" s="30">
        <f>IFERROR(__xludf.DUMMYFUNCTION("""COMPUTED_VALUE"""),314.55)</f>
        <v>314.55</v>
      </c>
      <c r="G150" s="31">
        <f>IFERROR(__xludf.DUMMYFUNCTION("""COMPUTED_VALUE"""),1.898991E7)</f>
        <v>18989910</v>
      </c>
      <c r="H150" s="10"/>
    </row>
    <row r="151" ht="17.25" customHeight="1">
      <c r="A151" s="10"/>
      <c r="B151" s="29">
        <f>IFERROR(__xludf.DUMMYFUNCTION("""COMPUTED_VALUE"""),46029.66666666667)</f>
        <v>46029.66667</v>
      </c>
      <c r="C151" s="30">
        <f>IFERROR(__xludf.DUMMYFUNCTION("""COMPUTED_VALUE"""),314.57)</f>
        <v>314.57</v>
      </c>
      <c r="D151" s="30">
        <f>IFERROR(__xludf.DUMMYFUNCTION("""COMPUTED_VALUE"""),326.46)</f>
        <v>326.46</v>
      </c>
      <c r="E151" s="30">
        <f>IFERROR(__xludf.DUMMYFUNCTION("""COMPUTED_VALUE"""),314.5)</f>
        <v>314.5</v>
      </c>
      <c r="F151" s="30">
        <f>IFERROR(__xludf.DUMMYFUNCTION("""COMPUTED_VALUE"""),322.43)</f>
        <v>322.43</v>
      </c>
      <c r="G151" s="31">
        <f>IFERROR(__xludf.DUMMYFUNCTION("""COMPUTED_VALUE"""),2.4681825E7)</f>
        <v>24681825</v>
      </c>
      <c r="H151" s="10"/>
    </row>
    <row r="152" ht="17.25" customHeight="1">
      <c r="A152" s="10"/>
      <c r="B152" s="29">
        <f>IFERROR(__xludf.DUMMYFUNCTION("""COMPUTED_VALUE"""),46030.66666666667)</f>
        <v>46030.66667</v>
      </c>
      <c r="C152" s="30">
        <f>IFERROR(__xludf.DUMMYFUNCTION("""COMPUTED_VALUE"""),329.27)</f>
        <v>329.27</v>
      </c>
      <c r="D152" s="30">
        <f>IFERROR(__xludf.DUMMYFUNCTION("""COMPUTED_VALUE"""),330.54)</f>
        <v>330.54</v>
      </c>
      <c r="E152" s="30">
        <f>IFERROR(__xludf.DUMMYFUNCTION("""COMPUTED_VALUE"""),321.99)</f>
        <v>321.99</v>
      </c>
      <c r="F152" s="30">
        <f>IFERROR(__xludf.DUMMYFUNCTION("""COMPUTED_VALUE"""),326.01)</f>
        <v>326.01</v>
      </c>
      <c r="G152" s="31">
        <f>IFERROR(__xludf.DUMMYFUNCTION("""COMPUTED_VALUE"""),2.1789614E7)</f>
        <v>21789614</v>
      </c>
      <c r="H152" s="10"/>
    </row>
    <row r="153" ht="17.25" customHeight="1">
      <c r="A153" s="10"/>
      <c r="B153" s="29">
        <f>IFERROR(__xludf.DUMMYFUNCTION("""COMPUTED_VALUE"""),46031.66666666667)</f>
        <v>46031.66667</v>
      </c>
      <c r="C153" s="30">
        <f>IFERROR(__xludf.DUMMYFUNCTION("""COMPUTED_VALUE"""),327.49)</f>
        <v>327.49</v>
      </c>
      <c r="D153" s="30">
        <f>IFERROR(__xludf.DUMMYFUNCTION("""COMPUTED_VALUE"""),331.48)</f>
        <v>331.48</v>
      </c>
      <c r="E153" s="30">
        <f>IFERROR(__xludf.DUMMYFUNCTION("""COMPUTED_VALUE"""),326.25)</f>
        <v>326.25</v>
      </c>
      <c r="F153" s="30">
        <f>IFERROR(__xludf.DUMMYFUNCTION("""COMPUTED_VALUE"""),329.14)</f>
        <v>329.14</v>
      </c>
      <c r="G153" s="31">
        <f>IFERROR(__xludf.DUMMYFUNCTION("""COMPUTED_VALUE"""),1.7917732E7)</f>
        <v>17917732</v>
      </c>
      <c r="H153" s="10"/>
    </row>
    <row r="154" ht="17.25" customHeight="1">
      <c r="A154" s="10"/>
      <c r="B154" s="29">
        <f>IFERROR(__xludf.DUMMYFUNCTION("""COMPUTED_VALUE"""),46034.66666666667)</f>
        <v>46034.66667</v>
      </c>
      <c r="C154" s="30">
        <f>IFERROR(__xludf.DUMMYFUNCTION("""COMPUTED_VALUE"""),326.5)</f>
        <v>326.5</v>
      </c>
      <c r="D154" s="30">
        <f>IFERROR(__xludf.DUMMYFUNCTION("""COMPUTED_VALUE"""),334.44)</f>
        <v>334.44</v>
      </c>
      <c r="E154" s="30">
        <f>IFERROR(__xludf.DUMMYFUNCTION("""COMPUTED_VALUE"""),325.51)</f>
        <v>325.51</v>
      </c>
      <c r="F154" s="30">
        <f>IFERROR(__xludf.DUMMYFUNCTION("""COMPUTED_VALUE"""),332.73)</f>
        <v>332.73</v>
      </c>
      <c r="G154" s="31">
        <f>IFERROR(__xludf.DUMMYFUNCTION("""COMPUTED_VALUE"""),2.3893764E7)</f>
        <v>23893764</v>
      </c>
      <c r="H154" s="10"/>
    </row>
    <row r="155" ht="17.25" customHeight="1">
      <c r="A155" s="10"/>
      <c r="B155" s="29">
        <f>IFERROR(__xludf.DUMMYFUNCTION("""COMPUTED_VALUE"""),46035.66666666667)</f>
        <v>46035.66667</v>
      </c>
      <c r="C155" s="30">
        <f>IFERROR(__xludf.DUMMYFUNCTION("""COMPUTED_VALUE"""),335.28)</f>
        <v>335.28</v>
      </c>
      <c r="D155" s="30">
        <f>IFERROR(__xludf.DUMMYFUNCTION("""COMPUTED_VALUE"""),341.2)</f>
        <v>341.2</v>
      </c>
      <c r="E155" s="30">
        <f>IFERROR(__xludf.DUMMYFUNCTION("""COMPUTED_VALUE"""),334.35)</f>
        <v>334.35</v>
      </c>
      <c r="F155" s="30">
        <f>IFERROR(__xludf.DUMMYFUNCTION("""COMPUTED_VALUE"""),336.43)</f>
        <v>336.43</v>
      </c>
      <c r="G155" s="31">
        <f>IFERROR(__xludf.DUMMYFUNCTION("""COMPUTED_VALUE"""),2.46167E7)</f>
        <v>24616700</v>
      </c>
      <c r="H155" s="10"/>
    </row>
    <row r="156" ht="17.25" customHeight="1">
      <c r="A156" s="10"/>
      <c r="B156" s="29">
        <f>IFERROR(__xludf.DUMMYFUNCTION("""COMPUTED_VALUE"""),46036.66666666667)</f>
        <v>46036.66667</v>
      </c>
      <c r="C156" s="30">
        <f>IFERROR(__xludf.DUMMYFUNCTION("""COMPUTED_VALUE"""),334.99)</f>
        <v>334.99</v>
      </c>
      <c r="D156" s="30">
        <f>IFERROR(__xludf.DUMMYFUNCTION("""COMPUTED_VALUE"""),337.03)</f>
        <v>337.03</v>
      </c>
      <c r="E156" s="30">
        <f>IFERROR(__xludf.DUMMYFUNCTION("""COMPUTED_VALUE"""),331.14)</f>
        <v>331.14</v>
      </c>
      <c r="F156" s="30">
        <f>IFERROR(__xludf.DUMMYFUNCTION("""COMPUTED_VALUE"""),336.31)</f>
        <v>336.31</v>
      </c>
      <c r="G156" s="31">
        <f>IFERROR(__xludf.DUMMYFUNCTION("""COMPUTED_VALUE"""),1.7839332E7)</f>
        <v>17839332</v>
      </c>
      <c r="H156" s="10"/>
    </row>
    <row r="157" ht="17.25" customHeight="1">
      <c r="A157" s="10"/>
      <c r="B157" s="29">
        <f>IFERROR(__xludf.DUMMYFUNCTION("""COMPUTED_VALUE"""),46037.66666666667)</f>
        <v>46037.66667</v>
      </c>
      <c r="C157" s="30">
        <f>IFERROR(__xludf.DUMMYFUNCTION("""COMPUTED_VALUE"""),338.06)</f>
        <v>338.06</v>
      </c>
      <c r="D157" s="30">
        <f>IFERROR(__xludf.DUMMYFUNCTION("""COMPUTED_VALUE"""),338.13)</f>
        <v>338.13</v>
      </c>
      <c r="E157" s="30">
        <f>IFERROR(__xludf.DUMMYFUNCTION("""COMPUTED_VALUE"""),331.29)</f>
        <v>331.29</v>
      </c>
      <c r="F157" s="30">
        <f>IFERROR(__xludf.DUMMYFUNCTION("""COMPUTED_VALUE"""),333.16)</f>
        <v>333.16</v>
      </c>
      <c r="G157" s="31">
        <f>IFERROR(__xludf.DUMMYFUNCTION("""COMPUTED_VALUE"""),1.6424864E7)</f>
        <v>16424864</v>
      </c>
      <c r="H157" s="10"/>
    </row>
    <row r="158" ht="17.25" customHeight="1">
      <c r="A158" s="10"/>
      <c r="B158" s="29">
        <f>IFERROR(__xludf.DUMMYFUNCTION("""COMPUTED_VALUE"""),46038.66666666667)</f>
        <v>46038.66667</v>
      </c>
      <c r="C158" s="30">
        <f>IFERROR(__xludf.DUMMYFUNCTION("""COMPUTED_VALUE"""),334.94)</f>
        <v>334.94</v>
      </c>
      <c r="D158" s="30">
        <f>IFERROR(__xludf.DUMMYFUNCTION("""COMPUTED_VALUE"""),335.24)</f>
        <v>335.24</v>
      </c>
      <c r="E158" s="30">
        <f>IFERROR(__xludf.DUMMYFUNCTION("""COMPUTED_VALUE"""),328.17)</f>
        <v>328.17</v>
      </c>
      <c r="F158" s="30">
        <f>IFERROR(__xludf.DUMMYFUNCTION("""COMPUTED_VALUE"""),330.34)</f>
        <v>330.34</v>
      </c>
      <c r="G158" s="31">
        <f>IFERROR(__xludf.DUMMYFUNCTION("""COMPUTED_VALUE"""),2.1868624E7)</f>
        <v>21868624</v>
      </c>
      <c r="H158" s="10"/>
    </row>
    <row r="159" ht="17.25" customHeight="1">
      <c r="A159" s="10"/>
      <c r="B159" s="29">
        <f>IFERROR(__xludf.DUMMYFUNCTION("""COMPUTED_VALUE"""),46042.66666666667)</f>
        <v>46042.66667</v>
      </c>
      <c r="C159" s="30">
        <f>IFERROR(__xludf.DUMMYFUNCTION("""COMPUTED_VALUE"""),321.24)</f>
        <v>321.24</v>
      </c>
      <c r="D159" s="30">
        <f>IFERROR(__xludf.DUMMYFUNCTION("""COMPUTED_VALUE"""),328.09)</f>
        <v>328.09</v>
      </c>
      <c r="E159" s="30">
        <f>IFERROR(__xludf.DUMMYFUNCTION("""COMPUTED_VALUE"""),320.89)</f>
        <v>320.89</v>
      </c>
      <c r="F159" s="30">
        <f>IFERROR(__xludf.DUMMYFUNCTION("""COMPUTED_VALUE"""),322.16)</f>
        <v>322.16</v>
      </c>
      <c r="G159" s="31">
        <f>IFERROR(__xludf.DUMMYFUNCTION("""COMPUTED_VALUE"""),2.7169853E7)</f>
        <v>27169853</v>
      </c>
      <c r="H159" s="10"/>
    </row>
    <row r="160" ht="17.25" customHeight="1">
      <c r="A160" s="10"/>
      <c r="B160" s="29">
        <f>IFERROR(__xludf.DUMMYFUNCTION("""COMPUTED_VALUE"""),46043.66666666667)</f>
        <v>46043.66667</v>
      </c>
      <c r="C160" s="30">
        <f>IFERROR(__xludf.DUMMYFUNCTION("""COMPUTED_VALUE"""),321.1)</f>
        <v>321.1</v>
      </c>
      <c r="D160" s="30">
        <f>IFERROR(__xludf.DUMMYFUNCTION("""COMPUTED_VALUE"""),332.73)</f>
        <v>332.73</v>
      </c>
      <c r="E160" s="30">
        <f>IFERROR(__xludf.DUMMYFUNCTION("""COMPUTED_VALUE"""),319.54)</f>
        <v>319.54</v>
      </c>
      <c r="F160" s="30">
        <f>IFERROR(__xludf.DUMMYFUNCTION("""COMPUTED_VALUE"""),328.38)</f>
        <v>328.38</v>
      </c>
      <c r="G160" s="31">
        <f>IFERROR(__xludf.DUMMYFUNCTION("""COMPUTED_VALUE"""),2.279165E7)</f>
        <v>22791650</v>
      </c>
      <c r="H160" s="10"/>
    </row>
    <row r="161" ht="17.25" customHeight="1">
      <c r="A161" s="10"/>
      <c r="B161" s="29">
        <f>IFERROR(__xludf.DUMMYFUNCTION("""COMPUTED_VALUE"""),46044.66666666667)</f>
        <v>46044.66667</v>
      </c>
      <c r="C161" s="30">
        <f>IFERROR(__xludf.DUMMYFUNCTION("""COMPUTED_VALUE"""),334.27)</f>
        <v>334.27</v>
      </c>
      <c r="D161" s="30">
        <f>IFERROR(__xludf.DUMMYFUNCTION("""COMPUTED_VALUE"""),335.21)</f>
        <v>335.21</v>
      </c>
      <c r="E161" s="30">
        <f>IFERROR(__xludf.DUMMYFUNCTION("""COMPUTED_VALUE"""),328.88)</f>
        <v>328.88</v>
      </c>
      <c r="F161" s="30">
        <f>IFERROR(__xludf.DUMMYFUNCTION("""COMPUTED_VALUE"""),330.84)</f>
        <v>330.84</v>
      </c>
      <c r="G161" s="31">
        <f>IFERROR(__xludf.DUMMYFUNCTION("""COMPUTED_VALUE"""),1.990211E7)</f>
        <v>19902110</v>
      </c>
      <c r="H161" s="10"/>
    </row>
    <row r="162" ht="17.25" customHeight="1">
      <c r="A162" s="10"/>
      <c r="B162" s="29">
        <f>IFERROR(__xludf.DUMMYFUNCTION("""COMPUTED_VALUE"""),46045.66666666667)</f>
        <v>46045.66667</v>
      </c>
      <c r="C162" s="30">
        <f>IFERROR(__xludf.DUMMYFUNCTION("""COMPUTED_VALUE"""),332.66)</f>
        <v>332.66</v>
      </c>
      <c r="D162" s="30">
        <f>IFERROR(__xludf.DUMMYFUNCTION("""COMPUTED_VALUE"""),334.03)</f>
        <v>334.03</v>
      </c>
      <c r="E162" s="30">
        <f>IFERROR(__xludf.DUMMYFUNCTION("""COMPUTED_VALUE"""),327.97)</f>
        <v>327.97</v>
      </c>
      <c r="F162" s="30">
        <f>IFERROR(__xludf.DUMMYFUNCTION("""COMPUTED_VALUE"""),328.43)</f>
        <v>328.43</v>
      </c>
      <c r="G162" s="31">
        <f>IFERROR(__xludf.DUMMYFUNCTION("""COMPUTED_VALUE"""),1.9110585E7)</f>
        <v>19110585</v>
      </c>
      <c r="H162" s="10"/>
    </row>
    <row r="163" ht="17.25" customHeight="1">
      <c r="A163" s="10"/>
      <c r="B163" s="29">
        <f>IFERROR(__xludf.DUMMYFUNCTION("""COMPUTED_VALUE"""),46048.66666666667)</f>
        <v>46048.66667</v>
      </c>
      <c r="C163" s="30">
        <f>IFERROR(__xludf.DUMMYFUNCTION("""COMPUTED_VALUE"""),328.2)</f>
        <v>328.2</v>
      </c>
      <c r="D163" s="30">
        <f>IFERROR(__xludf.DUMMYFUNCTION("""COMPUTED_VALUE"""),336.35)</f>
        <v>336.35</v>
      </c>
      <c r="E163" s="30">
        <f>IFERROR(__xludf.DUMMYFUNCTION("""COMPUTED_VALUE"""),327.49)</f>
        <v>327.49</v>
      </c>
      <c r="F163" s="30">
        <f>IFERROR(__xludf.DUMMYFUNCTION("""COMPUTED_VALUE"""),333.59)</f>
        <v>333.59</v>
      </c>
      <c r="G163" s="31">
        <f>IFERROR(__xludf.DUMMYFUNCTION("""COMPUTED_VALUE"""),1.8502451E7)</f>
        <v>18502451</v>
      </c>
      <c r="H163" s="10"/>
    </row>
    <row r="164" ht="17.25" customHeight="1">
      <c r="A164" s="10"/>
      <c r="B164" s="29">
        <f>IFERROR(__xludf.DUMMYFUNCTION("""COMPUTED_VALUE"""),46049.66666666667)</f>
        <v>46049.66667</v>
      </c>
      <c r="C164" s="30">
        <f>IFERROR(__xludf.DUMMYFUNCTION("""COMPUTED_VALUE"""),335.63)</f>
        <v>335.63</v>
      </c>
      <c r="D164" s="30">
        <f>IFERROR(__xludf.DUMMYFUNCTION("""COMPUTED_VALUE"""),338.22)</f>
        <v>338.22</v>
      </c>
      <c r="E164" s="30">
        <f>IFERROR(__xludf.DUMMYFUNCTION("""COMPUTED_VALUE"""),333.75)</f>
        <v>333.75</v>
      </c>
      <c r="F164" s="30">
        <f>IFERROR(__xludf.DUMMYFUNCTION("""COMPUTED_VALUE"""),335.0)</f>
        <v>335</v>
      </c>
      <c r="G164" s="31">
        <f>IFERROR(__xludf.DUMMYFUNCTION("""COMPUTED_VALUE"""),1.6080924E7)</f>
        <v>16080924</v>
      </c>
      <c r="H164" s="10"/>
    </row>
    <row r="165" ht="17.25" customHeight="1">
      <c r="A165" s="10"/>
      <c r="B165" s="29">
        <f>IFERROR(__xludf.DUMMYFUNCTION("""COMPUTED_VALUE"""),46050.66666666667)</f>
        <v>46050.66667</v>
      </c>
      <c r="C165" s="30">
        <f>IFERROR(__xludf.DUMMYFUNCTION("""COMPUTED_VALUE"""),336.61)</f>
        <v>336.61</v>
      </c>
      <c r="D165" s="30">
        <f>IFERROR(__xludf.DUMMYFUNCTION("""COMPUTED_VALUE"""),337.63)</f>
        <v>337.63</v>
      </c>
      <c r="E165" s="30">
        <f>IFERROR(__xludf.DUMMYFUNCTION("""COMPUTED_VALUE"""),332.13)</f>
        <v>332.13</v>
      </c>
      <c r="F165" s="30">
        <f>IFERROR(__xludf.DUMMYFUNCTION("""COMPUTED_VALUE"""),336.28)</f>
        <v>336.28</v>
      </c>
      <c r="G165" s="31">
        <f>IFERROR(__xludf.DUMMYFUNCTION("""COMPUTED_VALUE"""),1.7538476E7)</f>
        <v>17538476</v>
      </c>
      <c r="H165" s="10"/>
    </row>
    <row r="166" ht="17.25" customHeight="1">
      <c r="A166" s="10"/>
      <c r="B166" s="29">
        <f>IFERROR(__xludf.DUMMYFUNCTION("""COMPUTED_VALUE"""),46051.66666666667)</f>
        <v>46051.66667</v>
      </c>
      <c r="C166" s="30">
        <f>IFERROR(__xludf.DUMMYFUNCTION("""COMPUTED_VALUE"""),340.35)</f>
        <v>340.35</v>
      </c>
      <c r="D166" s="30">
        <f>IFERROR(__xludf.DUMMYFUNCTION("""COMPUTED_VALUE"""),342.29)</f>
        <v>342.29</v>
      </c>
      <c r="E166" s="30">
        <f>IFERROR(__xludf.DUMMYFUNCTION("""COMPUTED_VALUE"""),326.72)</f>
        <v>326.72</v>
      </c>
      <c r="F166" s="30">
        <f>IFERROR(__xludf.DUMMYFUNCTION("""COMPUTED_VALUE"""),338.66)</f>
        <v>338.66</v>
      </c>
      <c r="G166" s="31">
        <f>IFERROR(__xludf.DUMMYFUNCTION("""COMPUTED_VALUE"""),2.4548303E7)</f>
        <v>24548303</v>
      </c>
      <c r="H166" s="10"/>
    </row>
    <row r="167" ht="17.25" customHeight="1">
      <c r="A167" s="10"/>
      <c r="B167" s="29">
        <f>IFERROR(__xludf.DUMMYFUNCTION("""COMPUTED_VALUE"""),46052.66666666667)</f>
        <v>46052.66667</v>
      </c>
      <c r="C167" s="30">
        <f>IFERROR(__xludf.DUMMYFUNCTION("""COMPUTED_VALUE"""),334.46)</f>
        <v>334.46</v>
      </c>
      <c r="D167" s="30">
        <f>IFERROR(__xludf.DUMMYFUNCTION("""COMPUTED_VALUE"""),340.29)</f>
        <v>340.29</v>
      </c>
      <c r="E167" s="30">
        <f>IFERROR(__xludf.DUMMYFUNCTION("""COMPUTED_VALUE"""),332.64)</f>
        <v>332.64</v>
      </c>
      <c r="F167" s="30">
        <f>IFERROR(__xludf.DUMMYFUNCTION("""COMPUTED_VALUE"""),338.53)</f>
        <v>338.53</v>
      </c>
      <c r="G167" s="31">
        <f>IFERROR(__xludf.DUMMYFUNCTION("""COMPUTED_VALUE"""),2.1740202E7)</f>
        <v>21740202</v>
      </c>
      <c r="H167" s="10"/>
    </row>
    <row r="168" ht="17.25" customHeight="1">
      <c r="A168" s="10"/>
      <c r="B168" s="29">
        <f>IFERROR(__xludf.DUMMYFUNCTION("""COMPUTED_VALUE"""),46055.66666666667)</f>
        <v>46055.66667</v>
      </c>
      <c r="C168" s="30">
        <f>IFERROR(__xludf.DUMMYFUNCTION("""COMPUTED_VALUE"""),336.55)</f>
        <v>336.55</v>
      </c>
      <c r="D168" s="30">
        <f>IFERROR(__xludf.DUMMYFUNCTION("""COMPUTED_VALUE"""),345.17)</f>
        <v>345.17</v>
      </c>
      <c r="E168" s="30">
        <f>IFERROR(__xludf.DUMMYFUNCTION("""COMPUTED_VALUE"""),336.01)</f>
        <v>336.01</v>
      </c>
      <c r="F168" s="30">
        <f>IFERROR(__xludf.DUMMYFUNCTION("""COMPUTED_VALUE"""),344.9)</f>
        <v>344.9</v>
      </c>
      <c r="G168" s="31">
        <f>IFERROR(__xludf.DUMMYFUNCTION("""COMPUTED_VALUE"""),2.2775218E7)</f>
        <v>22775218</v>
      </c>
      <c r="H168" s="10"/>
    </row>
    <row r="169" ht="17.25" customHeight="1">
      <c r="A169" s="10"/>
      <c r="B169" s="29">
        <f>IFERROR(__xludf.DUMMYFUNCTION("""COMPUTED_VALUE"""),46056.66666666667)</f>
        <v>46056.66667</v>
      </c>
      <c r="C169" s="30">
        <f>IFERROR(__xludf.DUMMYFUNCTION("""COMPUTED_VALUE"""),348.52)</f>
        <v>348.52</v>
      </c>
      <c r="D169" s="30">
        <f>IFERROR(__xludf.DUMMYFUNCTION("""COMPUTED_VALUE"""),350.15)</f>
        <v>350.15</v>
      </c>
      <c r="E169" s="30">
        <f>IFERROR(__xludf.DUMMYFUNCTION("""COMPUTED_VALUE"""),338.59)</f>
        <v>338.59</v>
      </c>
      <c r="F169" s="30">
        <f>IFERROR(__xludf.DUMMYFUNCTION("""COMPUTED_VALUE"""),340.7)</f>
        <v>340.7</v>
      </c>
      <c r="G169" s="31">
        <f>IFERROR(__xludf.DUMMYFUNCTION("""COMPUTED_VALUE"""),2.5786533E7)</f>
        <v>25786533</v>
      </c>
      <c r="H169" s="10"/>
    </row>
    <row r="170" ht="17.25" customHeight="1">
      <c r="A170" s="10"/>
      <c r="B170" s="29">
        <f>IFERROR(__xludf.DUMMYFUNCTION("""COMPUTED_VALUE"""),46057.66666666667)</f>
        <v>46057.66667</v>
      </c>
      <c r="C170" s="30">
        <f>IFERROR(__xludf.DUMMYFUNCTION("""COMPUTED_VALUE"""),343.76)</f>
        <v>343.76</v>
      </c>
      <c r="D170" s="30">
        <f>IFERROR(__xludf.DUMMYFUNCTION("""COMPUTED_VALUE"""),344.25)</f>
        <v>344.25</v>
      </c>
      <c r="E170" s="30">
        <f>IFERROR(__xludf.DUMMYFUNCTION("""COMPUTED_VALUE"""),329.37)</f>
        <v>329.37</v>
      </c>
      <c r="F170" s="30">
        <f>IFERROR(__xludf.DUMMYFUNCTION("""COMPUTED_VALUE"""),333.34)</f>
        <v>333.34</v>
      </c>
      <c r="G170" s="31">
        <f>IFERROR(__xludf.DUMMYFUNCTION("""COMPUTED_VALUE"""),3.6991086E7)</f>
        <v>36991086</v>
      </c>
      <c r="H170" s="10"/>
    </row>
    <row r="171" ht="17.25" customHeight="1">
      <c r="A171" s="10"/>
      <c r="B171" s="29">
        <f>IFERROR(__xludf.DUMMYFUNCTION("""COMPUTED_VALUE"""),46058.66666666667)</f>
        <v>46058.66667</v>
      </c>
      <c r="C171" s="30">
        <f>IFERROR(__xludf.DUMMYFUNCTION("""COMPUTED_VALUE"""),313.2)</f>
        <v>313.2</v>
      </c>
      <c r="D171" s="30">
        <f>IFERROR(__xludf.DUMMYFUNCTION("""COMPUTED_VALUE"""),332.64)</f>
        <v>332.64</v>
      </c>
      <c r="E171" s="30">
        <f>IFERROR(__xludf.DUMMYFUNCTION("""COMPUTED_VALUE"""),306.92)</f>
        <v>306.92</v>
      </c>
      <c r="F171" s="30">
        <f>IFERROR(__xludf.DUMMYFUNCTION("""COMPUTED_VALUE"""),331.33)</f>
        <v>331.33</v>
      </c>
      <c r="G171" s="31">
        <f>IFERROR(__xludf.DUMMYFUNCTION("""COMPUTED_VALUE"""),5.1842004E7)</f>
        <v>51842004</v>
      </c>
      <c r="H171" s="10"/>
    </row>
    <row r="172" ht="17.25" customHeight="1">
      <c r="A172" s="10"/>
      <c r="B172" s="29">
        <f>IFERROR(__xludf.DUMMYFUNCTION("""COMPUTED_VALUE"""),46059.66666666667)</f>
        <v>46059.66667</v>
      </c>
      <c r="C172" s="30">
        <f>IFERROR(__xludf.DUMMYFUNCTION("""COMPUTED_VALUE"""),327.35)</f>
        <v>327.35</v>
      </c>
      <c r="D172" s="30">
        <f>IFERROR(__xludf.DUMMYFUNCTION("""COMPUTED_VALUE"""),330.64)</f>
        <v>330.64</v>
      </c>
      <c r="E172" s="30">
        <f>IFERROR(__xludf.DUMMYFUNCTION("""COMPUTED_VALUE"""),320.15)</f>
        <v>320.15</v>
      </c>
      <c r="F172" s="30">
        <f>IFERROR(__xludf.DUMMYFUNCTION("""COMPUTED_VALUE"""),323.1)</f>
        <v>323.1</v>
      </c>
      <c r="G172" s="31">
        <f>IFERROR(__xludf.DUMMYFUNCTION("""COMPUTED_VALUE"""),3.3877014E7)</f>
        <v>33877014</v>
      </c>
      <c r="H172" s="10"/>
    </row>
    <row r="173" ht="17.25" customHeight="1">
      <c r="A173" s="10"/>
      <c r="B173" s="29">
        <f>IFERROR(__xludf.DUMMYFUNCTION("""COMPUTED_VALUE"""),46062.66666666667)</f>
        <v>46062.66667</v>
      </c>
      <c r="C173" s="30">
        <f>IFERROR(__xludf.DUMMYFUNCTION("""COMPUTED_VALUE"""),321.24)</f>
        <v>321.24</v>
      </c>
      <c r="D173" s="30">
        <f>IFERROR(__xludf.DUMMYFUNCTION("""COMPUTED_VALUE"""),327.74)</f>
        <v>327.74</v>
      </c>
      <c r="E173" s="30">
        <f>IFERROR(__xludf.DUMMYFUNCTION("""COMPUTED_VALUE"""),317.7)</f>
        <v>317.7</v>
      </c>
      <c r="F173" s="30">
        <f>IFERROR(__xludf.DUMMYFUNCTION("""COMPUTED_VALUE"""),324.4)</f>
        <v>324.4</v>
      </c>
      <c r="G173" s="31">
        <f>IFERROR(__xludf.DUMMYFUNCTION("""COMPUTED_VALUE"""),2.6103255E7)</f>
        <v>26103255</v>
      </c>
      <c r="H173" s="10"/>
    </row>
    <row r="174" ht="17.25" customHeight="1">
      <c r="A174" s="10"/>
      <c r="B174" s="29">
        <f>IFERROR(__xludf.DUMMYFUNCTION("""COMPUTED_VALUE"""),46063.66666666667)</f>
        <v>46063.66667</v>
      </c>
      <c r="C174" s="30">
        <f>IFERROR(__xludf.DUMMYFUNCTION("""COMPUTED_VALUE"""),320.91)</f>
        <v>320.91</v>
      </c>
      <c r="D174" s="30">
        <f>IFERROR(__xludf.DUMMYFUNCTION("""COMPUTED_VALUE"""),321.63)</f>
        <v>321.63</v>
      </c>
      <c r="E174" s="30">
        <f>IFERROR(__xludf.DUMMYFUNCTION("""COMPUTED_VALUE"""),314.66)</f>
        <v>314.66</v>
      </c>
      <c r="F174" s="30">
        <f>IFERROR(__xludf.DUMMYFUNCTION("""COMPUTED_VALUE"""),318.63)</f>
        <v>318.63</v>
      </c>
      <c r="G174" s="31">
        <f>IFERROR(__xludf.DUMMYFUNCTION("""COMPUTED_VALUE"""),2.5281932E7)</f>
        <v>25281932</v>
      </c>
      <c r="H174" s="10"/>
    </row>
    <row r="175" ht="17.25" customHeight="1">
      <c r="A175" s="10"/>
      <c r="B175" s="29">
        <f>IFERROR(__xludf.DUMMYFUNCTION("""COMPUTED_VALUE"""),46064.66666666667)</f>
        <v>46064.66667</v>
      </c>
      <c r="C175" s="30">
        <f>IFERROR(__xludf.DUMMYFUNCTION("""COMPUTED_VALUE"""),318.96)</f>
        <v>318.96</v>
      </c>
      <c r="D175" s="30">
        <f>IFERROR(__xludf.DUMMYFUNCTION("""COMPUTED_VALUE"""),321.05)</f>
        <v>321.05</v>
      </c>
      <c r="E175" s="30">
        <f>IFERROR(__xludf.DUMMYFUNCTION("""COMPUTED_VALUE"""),310.13)</f>
        <v>310.13</v>
      </c>
      <c r="F175" s="30">
        <f>IFERROR(__xludf.DUMMYFUNCTION("""COMPUTED_VALUE"""),311.33)</f>
        <v>311.33</v>
      </c>
      <c r="G175" s="31">
        <f>IFERROR(__xludf.DUMMYFUNCTION("""COMPUTED_VALUE"""),2.4008065E7)</f>
        <v>24008065</v>
      </c>
      <c r="H175" s="10"/>
    </row>
    <row r="176" ht="17.25" customHeight="1">
      <c r="A176" s="10"/>
      <c r="B176" s="29">
        <f>IFERROR(__xludf.DUMMYFUNCTION("""COMPUTED_VALUE"""),46065.66666666667)</f>
        <v>46065.66667</v>
      </c>
      <c r="C176" s="30">
        <f>IFERROR(__xludf.DUMMYFUNCTION("""COMPUTED_VALUE"""),312.35)</f>
        <v>312.35</v>
      </c>
      <c r="D176" s="30">
        <f>IFERROR(__xludf.DUMMYFUNCTION("""COMPUTED_VALUE"""),316.48)</f>
        <v>316.48</v>
      </c>
      <c r="E176" s="30">
        <f>IFERROR(__xludf.DUMMYFUNCTION("""COMPUTED_VALUE"""),308.15)</f>
        <v>308.15</v>
      </c>
      <c r="F176" s="30">
        <f>IFERROR(__xludf.DUMMYFUNCTION("""COMPUTED_VALUE"""),309.37)</f>
        <v>309.37</v>
      </c>
      <c r="G176" s="31">
        <f>IFERROR(__xludf.DUMMYFUNCTION("""COMPUTED_VALUE"""),2.8193962E7)</f>
        <v>28193962</v>
      </c>
      <c r="H176" s="10"/>
    </row>
    <row r="177" ht="17.25" customHeight="1">
      <c r="A177" s="10"/>
      <c r="B177" s="29">
        <f>IFERROR(__xludf.DUMMYFUNCTION("""COMPUTED_VALUE"""),46066.66666666667)</f>
        <v>46066.66667</v>
      </c>
      <c r="C177" s="30">
        <f>IFERROR(__xludf.DUMMYFUNCTION("""COMPUTED_VALUE"""),307.99)</f>
        <v>307.99</v>
      </c>
      <c r="D177" s="30">
        <f>IFERROR(__xludf.DUMMYFUNCTION("""COMPUTED_VALUE"""),308.89)</f>
        <v>308.89</v>
      </c>
      <c r="E177" s="30">
        <f>IFERROR(__xludf.DUMMYFUNCTION("""COMPUTED_VALUE"""),303.9)</f>
        <v>303.9</v>
      </c>
      <c r="F177" s="30">
        <f>IFERROR(__xludf.DUMMYFUNCTION("""COMPUTED_VALUE"""),306.02)</f>
        <v>306.02</v>
      </c>
      <c r="G177" s="31">
        <f>IFERROR(__xludf.DUMMYFUNCTION("""COMPUTED_VALUE"""),2.023595E7)</f>
        <v>20235950</v>
      </c>
      <c r="H177" s="10"/>
    </row>
    <row r="178" ht="17.25" customHeight="1">
      <c r="A178" s="10"/>
      <c r="B178" s="29">
        <f>IFERROR(__xludf.DUMMYFUNCTION("""COMPUTED_VALUE"""),46070.66666666667)</f>
        <v>46070.66667</v>
      </c>
      <c r="C178" s="30">
        <f>IFERROR(__xludf.DUMMYFUNCTION("""COMPUTED_VALUE"""),300.64)</f>
        <v>300.64</v>
      </c>
      <c r="D178" s="30">
        <f>IFERROR(__xludf.DUMMYFUNCTION("""COMPUTED_VALUE"""),304.89)</f>
        <v>304.89</v>
      </c>
      <c r="E178" s="30">
        <f>IFERROR(__xludf.DUMMYFUNCTION("""COMPUTED_VALUE"""),296.9)</f>
        <v>296.9</v>
      </c>
      <c r="F178" s="30">
        <f>IFERROR(__xludf.DUMMYFUNCTION("""COMPUTED_VALUE"""),302.82)</f>
        <v>302.82</v>
      </c>
      <c r="G178" s="31">
        <f>IFERROR(__xludf.DUMMYFUNCTION("""COMPUTED_VALUE"""),2.3750758E7)</f>
        <v>23750758</v>
      </c>
      <c r="H178" s="10"/>
    </row>
    <row r="179" ht="17.25" customHeight="1">
      <c r="A179" s="10"/>
      <c r="B179" s="29">
        <f>IFERROR(__xludf.DUMMYFUNCTION("""COMPUTED_VALUE"""),46071.66666666667)</f>
        <v>46071.66667</v>
      </c>
      <c r="C179" s="30">
        <f>IFERROR(__xludf.DUMMYFUNCTION("""COMPUTED_VALUE"""),302.43)</f>
        <v>302.43</v>
      </c>
      <c r="D179" s="30">
        <f>IFERROR(__xludf.DUMMYFUNCTION("""COMPUTED_VALUE"""),305.91)</f>
        <v>305.91</v>
      </c>
      <c r="E179" s="30">
        <f>IFERROR(__xludf.DUMMYFUNCTION("""COMPUTED_VALUE"""),301.98)</f>
        <v>301.98</v>
      </c>
      <c r="F179" s="30">
        <f>IFERROR(__xludf.DUMMYFUNCTION("""COMPUTED_VALUE"""),303.94)</f>
        <v>303.94</v>
      </c>
      <c r="G179" s="31">
        <f>IFERROR(__xludf.DUMMYFUNCTION("""COMPUTED_VALUE"""),1.5847701E7)</f>
        <v>15847701</v>
      </c>
      <c r="H179" s="10"/>
    </row>
    <row r="180" ht="17.25" customHeight="1">
      <c r="A180" s="10"/>
      <c r="B180" s="29">
        <f>IFERROR(__xludf.DUMMYFUNCTION("""COMPUTED_VALUE"""),46072.66666666667)</f>
        <v>46072.66667</v>
      </c>
      <c r="C180" s="30">
        <f>IFERROR(__xludf.DUMMYFUNCTION("""COMPUTED_VALUE"""),302.52)</f>
        <v>302.52</v>
      </c>
      <c r="D180" s="30">
        <f>IFERROR(__xludf.DUMMYFUNCTION("""COMPUTED_VALUE"""),306.03)</f>
        <v>306.03</v>
      </c>
      <c r="E180" s="30">
        <f>IFERROR(__xludf.DUMMYFUNCTION("""COMPUTED_VALUE"""),300.67)</f>
        <v>300.67</v>
      </c>
      <c r="F180" s="30">
        <f>IFERROR(__xludf.DUMMYFUNCTION("""COMPUTED_VALUE"""),303.56)</f>
        <v>303.56</v>
      </c>
      <c r="G180" s="31">
        <f>IFERROR(__xludf.DUMMYFUNCTION("""COMPUTED_VALUE"""),1.3448627E7)</f>
        <v>13448627</v>
      </c>
      <c r="H180" s="10"/>
    </row>
    <row r="181" ht="17.25" customHeight="1">
      <c r="A181" s="10"/>
      <c r="B181" s="29">
        <f>IFERROR(__xludf.DUMMYFUNCTION("""COMPUTED_VALUE"""),46073.66666666667)</f>
        <v>46073.66667</v>
      </c>
      <c r="C181" s="30">
        <f>IFERROR(__xludf.DUMMYFUNCTION("""COMPUTED_VALUE"""),304.8)</f>
        <v>304.8</v>
      </c>
      <c r="D181" s="30">
        <f>IFERROR(__xludf.DUMMYFUNCTION("""COMPUTED_VALUE"""),316.76)</f>
        <v>316.76</v>
      </c>
      <c r="E181" s="30">
        <f>IFERROR(__xludf.DUMMYFUNCTION("""COMPUTED_VALUE"""),304.42)</f>
        <v>304.42</v>
      </c>
      <c r="F181" s="30">
        <f>IFERROR(__xludf.DUMMYFUNCTION("""COMPUTED_VALUE"""),314.9)</f>
        <v>314.9</v>
      </c>
      <c r="G181" s="31">
        <f>IFERROR(__xludf.DUMMYFUNCTION("""COMPUTED_VALUE"""),3.3663143E7)</f>
        <v>33663143</v>
      </c>
      <c r="H181" s="10"/>
    </row>
    <row r="182" ht="17.25" customHeight="1">
      <c r="A182" s="10"/>
      <c r="B182" s="29">
        <f>IFERROR(__xludf.DUMMYFUNCTION("""COMPUTED_VALUE"""),46076.66666666667)</f>
        <v>46076.66667</v>
      </c>
      <c r="C182" s="30">
        <f>IFERROR(__xludf.DUMMYFUNCTION("""COMPUTED_VALUE"""),319.14)</f>
        <v>319.14</v>
      </c>
      <c r="D182" s="30">
        <f>IFERROR(__xludf.DUMMYFUNCTION("""COMPUTED_VALUE"""),319.46)</f>
        <v>319.46</v>
      </c>
      <c r="E182" s="30">
        <f>IFERROR(__xludf.DUMMYFUNCTION("""COMPUTED_VALUE"""),309.99)</f>
        <v>309.99</v>
      </c>
      <c r="F182" s="30">
        <f>IFERROR(__xludf.DUMMYFUNCTION("""COMPUTED_VALUE"""),311.69)</f>
        <v>311.69</v>
      </c>
      <c r="G182" s="31">
        <f>IFERROR(__xludf.DUMMYFUNCTION("""COMPUTED_VALUE"""),1.7568135E7)</f>
        <v>17568135</v>
      </c>
      <c r="H182" s="10"/>
    </row>
    <row r="183" ht="17.25" customHeight="1">
      <c r="A183" s="10"/>
      <c r="B183" s="29">
        <f>IFERROR(__xludf.DUMMYFUNCTION("""COMPUTED_VALUE"""),46077.66666666667)</f>
        <v>46077.66667</v>
      </c>
      <c r="C183" s="30">
        <f>IFERROR(__xludf.DUMMYFUNCTION("""COMPUTED_VALUE"""),310.64)</f>
        <v>310.64</v>
      </c>
      <c r="D183" s="30">
        <f>IFERROR(__xludf.DUMMYFUNCTION("""COMPUTED_VALUE"""),312.37)</f>
        <v>312.37</v>
      </c>
      <c r="E183" s="30">
        <f>IFERROR(__xludf.DUMMYFUNCTION("""COMPUTED_VALUE"""),306.09)</f>
        <v>306.09</v>
      </c>
      <c r="F183" s="30">
        <f>IFERROR(__xludf.DUMMYFUNCTION("""COMPUTED_VALUE"""),310.92)</f>
        <v>310.92</v>
      </c>
      <c r="G183" s="31">
        <f>IFERROR(__xludf.DUMMYFUNCTION("""COMPUTED_VALUE"""),1.4814821E7)</f>
        <v>14814821</v>
      </c>
      <c r="H183" s="10"/>
    </row>
    <row r="184" ht="17.25" customHeight="1">
      <c r="A184" s="10"/>
      <c r="B184" s="29">
        <f>IFERROR(__xludf.DUMMYFUNCTION("""COMPUTED_VALUE"""),46078.66666666667)</f>
        <v>46078.66667</v>
      </c>
      <c r="C184" s="30">
        <f>IFERROR(__xludf.DUMMYFUNCTION("""COMPUTED_VALUE"""),312.12)</f>
        <v>312.12</v>
      </c>
      <c r="D184" s="30">
        <f>IFERROR(__xludf.DUMMYFUNCTION("""COMPUTED_VALUE"""),313.66)</f>
        <v>313.66</v>
      </c>
      <c r="E184" s="30">
        <f>IFERROR(__xludf.DUMMYFUNCTION("""COMPUTED_VALUE"""),309.36)</f>
        <v>309.36</v>
      </c>
      <c r="F184" s="30">
        <f>IFERROR(__xludf.DUMMYFUNCTION("""COMPUTED_VALUE"""),313.03)</f>
        <v>313.03</v>
      </c>
      <c r="G184" s="31">
        <f>IFERROR(__xludf.DUMMYFUNCTION("""COMPUTED_VALUE"""),1.9634228E7)</f>
        <v>19634228</v>
      </c>
      <c r="H184" s="10"/>
    </row>
    <row r="185" ht="17.25" customHeight="1">
      <c r="A185" s="10"/>
      <c r="B185" s="29">
        <f>IFERROR(__xludf.DUMMYFUNCTION("""COMPUTED_VALUE"""),46079.66666666667)</f>
        <v>46079.66667</v>
      </c>
      <c r="C185" s="30">
        <f>IFERROR(__xludf.DUMMYFUNCTION("""COMPUTED_VALUE"""),312.81)</f>
        <v>312.81</v>
      </c>
      <c r="D185" s="30">
        <f>IFERROR(__xludf.DUMMYFUNCTION("""COMPUTED_VALUE"""),313.0)</f>
        <v>313</v>
      </c>
      <c r="E185" s="30">
        <f>IFERROR(__xludf.DUMMYFUNCTION("""COMPUTED_VALUE"""),302.41)</f>
        <v>302.41</v>
      </c>
      <c r="F185" s="30">
        <f>IFERROR(__xludf.DUMMYFUNCTION("""COMPUTED_VALUE"""),307.15)</f>
        <v>307.15</v>
      </c>
      <c r="G185" s="31">
        <f>IFERROR(__xludf.DUMMYFUNCTION("""COMPUTED_VALUE"""),2.160325E7)</f>
        <v>21603250</v>
      </c>
      <c r="H185" s="10"/>
    </row>
    <row r="186" ht="17.25" customHeight="1">
      <c r="A186" s="10"/>
      <c r="B186" s="29">
        <f>IFERROR(__xludf.DUMMYFUNCTION("""COMPUTED_VALUE"""),46080.66666666667)</f>
        <v>46080.66667</v>
      </c>
      <c r="C186" s="30">
        <f>IFERROR(__xludf.DUMMYFUNCTION("""COMPUTED_VALUE"""),303.94)</f>
        <v>303.94</v>
      </c>
      <c r="D186" s="30">
        <f>IFERROR(__xludf.DUMMYFUNCTION("""COMPUTED_VALUE"""),312.08)</f>
        <v>312.08</v>
      </c>
      <c r="E186" s="30">
        <f>IFERROR(__xludf.DUMMYFUNCTION("""COMPUTED_VALUE"""),303.59)</f>
        <v>303.59</v>
      </c>
      <c r="F186" s="30">
        <f>IFERROR(__xludf.DUMMYFUNCTION("""COMPUTED_VALUE"""),311.43)</f>
        <v>311.43</v>
      </c>
      <c r="G186" s="31">
        <f>IFERROR(__xludf.DUMMYFUNCTION("""COMPUTED_VALUE"""),3.3015816E7)</f>
        <v>33015816</v>
      </c>
      <c r="H186" s="10"/>
    </row>
    <row r="187" ht="17.25" customHeight="1">
      <c r="A187" s="10"/>
      <c r="B187" s="29">
        <f>IFERROR(__xludf.DUMMYFUNCTION("""COMPUTED_VALUE"""),46083.66666666667)</f>
        <v>46083.66667</v>
      </c>
      <c r="C187" s="30">
        <f>IFERROR(__xludf.DUMMYFUNCTION("""COMPUTED_VALUE"""),302.96)</f>
        <v>302.96</v>
      </c>
      <c r="D187" s="30">
        <f>IFERROR(__xludf.DUMMYFUNCTION("""COMPUTED_VALUE"""),308.14)</f>
        <v>308.14</v>
      </c>
      <c r="E187" s="30">
        <f>IFERROR(__xludf.DUMMYFUNCTION("""COMPUTED_VALUE"""),301.06)</f>
        <v>301.06</v>
      </c>
      <c r="F187" s="30">
        <f>IFERROR(__xludf.DUMMYFUNCTION("""COMPUTED_VALUE"""),306.36)</f>
        <v>306.36</v>
      </c>
      <c r="G187" s="31">
        <f>IFERROR(__xludf.DUMMYFUNCTION("""COMPUTED_VALUE"""),2.1749637E7)</f>
        <v>21749637</v>
      </c>
      <c r="H187" s="10"/>
    </row>
    <row r="188" ht="17.25" customHeight="1">
      <c r="A188" s="10"/>
      <c r="B188" s="29">
        <f>IFERROR(__xludf.DUMMYFUNCTION("""COMPUTED_VALUE"""),46084.66666666667)</f>
        <v>46084.66667</v>
      </c>
      <c r="C188" s="30">
        <f>IFERROR(__xludf.DUMMYFUNCTION("""COMPUTED_VALUE"""),298.42)</f>
        <v>298.42</v>
      </c>
      <c r="D188" s="30">
        <f>IFERROR(__xludf.DUMMYFUNCTION("""COMPUTED_VALUE"""),303.94)</f>
        <v>303.94</v>
      </c>
      <c r="E188" s="30">
        <f>IFERROR(__xludf.DUMMYFUNCTION("""COMPUTED_VALUE"""),296.7)</f>
        <v>296.7</v>
      </c>
      <c r="F188" s="30">
        <f>IFERROR(__xludf.DUMMYFUNCTION("""COMPUTED_VALUE"""),303.56)</f>
        <v>303.56</v>
      </c>
      <c r="G188" s="31">
        <f>IFERROR(__xludf.DUMMYFUNCTION("""COMPUTED_VALUE"""),1.9759319E7)</f>
        <v>19759319</v>
      </c>
      <c r="H188" s="10"/>
    </row>
    <row r="189" ht="17.25" customHeight="1">
      <c r="A189" s="10"/>
      <c r="B189" s="29">
        <f>IFERROR(__xludf.DUMMYFUNCTION("""COMPUTED_VALUE"""),46085.66666666667)</f>
        <v>46085.66667</v>
      </c>
      <c r="C189" s="30">
        <f>IFERROR(__xludf.DUMMYFUNCTION("""COMPUTED_VALUE"""),302.69)</f>
        <v>302.69</v>
      </c>
      <c r="D189" s="30">
        <f>IFERROR(__xludf.DUMMYFUNCTION("""COMPUTED_VALUE"""),305.46)</f>
        <v>305.46</v>
      </c>
      <c r="E189" s="30">
        <f>IFERROR(__xludf.DUMMYFUNCTION("""COMPUTED_VALUE"""),300.8)</f>
        <v>300.8</v>
      </c>
      <c r="F189" s="30">
        <f>IFERROR(__xludf.DUMMYFUNCTION("""COMPUTED_VALUE"""),303.45)</f>
        <v>303.45</v>
      </c>
      <c r="G189" s="31">
        <f>IFERROR(__xludf.DUMMYFUNCTION("""COMPUTED_VALUE"""),1.985025E7)</f>
        <v>19850250</v>
      </c>
      <c r="H189" s="10"/>
    </row>
    <row r="190" ht="17.25" customHeight="1">
      <c r="A190" s="10"/>
      <c r="B190" s="29">
        <f>IFERROR(__xludf.DUMMYFUNCTION("""COMPUTED_VALUE"""),46086.66666666667)</f>
        <v>46086.66667</v>
      </c>
      <c r="C190" s="30">
        <f>IFERROR(__xludf.DUMMYFUNCTION("""COMPUTED_VALUE"""),303.2)</f>
        <v>303.2</v>
      </c>
      <c r="D190" s="30">
        <f>IFERROR(__xludf.DUMMYFUNCTION("""COMPUTED_VALUE"""),303.37)</f>
        <v>303.37</v>
      </c>
      <c r="E190" s="30">
        <f>IFERROR(__xludf.DUMMYFUNCTION("""COMPUTED_VALUE"""),298.07)</f>
        <v>298.07</v>
      </c>
      <c r="F190" s="30">
        <f>IFERROR(__xludf.DUMMYFUNCTION("""COMPUTED_VALUE"""),300.91)</f>
        <v>300.91</v>
      </c>
      <c r="G190" s="31">
        <f>IFERROR(__xludf.DUMMYFUNCTION("""COMPUTED_VALUE"""),2.2491208E7)</f>
        <v>22491208</v>
      </c>
      <c r="H190" s="10"/>
    </row>
    <row r="191" ht="17.25" customHeight="1">
      <c r="A191" s="10"/>
      <c r="B191" s="29">
        <f>IFERROR(__xludf.DUMMYFUNCTION("""COMPUTED_VALUE"""),46087.66666666667)</f>
        <v>46087.66667</v>
      </c>
      <c r="C191" s="30">
        <f>IFERROR(__xludf.DUMMYFUNCTION("""COMPUTED_VALUE"""),296.07)</f>
        <v>296.07</v>
      </c>
      <c r="D191" s="30">
        <f>IFERROR(__xludf.DUMMYFUNCTION("""COMPUTED_VALUE"""),300.33)</f>
        <v>300.33</v>
      </c>
      <c r="E191" s="30">
        <f>IFERROR(__xludf.DUMMYFUNCTION("""COMPUTED_VALUE"""),295.25)</f>
        <v>295.25</v>
      </c>
      <c r="F191" s="30">
        <f>IFERROR(__xludf.DUMMYFUNCTION("""COMPUTED_VALUE"""),298.3)</f>
        <v>298.3</v>
      </c>
      <c r="G191" s="31">
        <f>IFERROR(__xludf.DUMMYFUNCTION("""COMPUTED_VALUE"""),1.7384707E7)</f>
        <v>17384707</v>
      </c>
      <c r="H191" s="10"/>
    </row>
    <row r="192" ht="17.25" customHeight="1">
      <c r="A192" s="10"/>
      <c r="B192" s="29">
        <f>IFERROR(__xludf.DUMMYFUNCTION("""COMPUTED_VALUE"""),46090.66666666667)</f>
        <v>46090.66667</v>
      </c>
      <c r="C192" s="30">
        <f>IFERROR(__xludf.DUMMYFUNCTION("""COMPUTED_VALUE"""),294.14)</f>
        <v>294.14</v>
      </c>
      <c r="D192" s="30">
        <f>IFERROR(__xludf.DUMMYFUNCTION("""COMPUTED_VALUE"""),306.5)</f>
        <v>306.5</v>
      </c>
      <c r="E192" s="30">
        <f>IFERROR(__xludf.DUMMYFUNCTION("""COMPUTED_VALUE"""),293.93)</f>
        <v>293.93</v>
      </c>
      <c r="F192" s="30">
        <f>IFERROR(__xludf.DUMMYFUNCTION("""COMPUTED_VALUE"""),306.01)</f>
        <v>306.01</v>
      </c>
      <c r="G192" s="31">
        <f>IFERROR(__xludf.DUMMYFUNCTION("""COMPUTED_VALUE"""),1.9487643E7)</f>
        <v>19487643</v>
      </c>
      <c r="H192" s="10"/>
    </row>
    <row r="193" ht="17.25" customHeight="1">
      <c r="A193" s="10"/>
      <c r="B193" s="29">
        <f>IFERROR(__xludf.DUMMYFUNCTION("""COMPUTED_VALUE"""),46091.66666666667)</f>
        <v>46091.66667</v>
      </c>
      <c r="C193" s="30">
        <f>IFERROR(__xludf.DUMMYFUNCTION("""COMPUTED_VALUE"""),305.88)</f>
        <v>305.88</v>
      </c>
      <c r="D193" s="30">
        <f>IFERROR(__xludf.DUMMYFUNCTION("""COMPUTED_VALUE"""),309.15)</f>
        <v>309.15</v>
      </c>
      <c r="E193" s="30">
        <f>IFERROR(__xludf.DUMMYFUNCTION("""COMPUTED_VALUE"""),305.31)</f>
        <v>305.31</v>
      </c>
      <c r="F193" s="30">
        <f>IFERROR(__xludf.DUMMYFUNCTION("""COMPUTED_VALUE"""),306.93)</f>
        <v>306.93</v>
      </c>
      <c r="G193" s="31">
        <f>IFERROR(__xludf.DUMMYFUNCTION("""COMPUTED_VALUE"""),1.4324859E7)</f>
        <v>14324859</v>
      </c>
      <c r="H193" s="10"/>
    </row>
    <row r="194" ht="17.25" customHeight="1">
      <c r="A194" s="10"/>
      <c r="B194" s="29">
        <f>IFERROR(__xludf.DUMMYFUNCTION("""COMPUTED_VALUE"""),46092.66666666667)</f>
        <v>46092.66667</v>
      </c>
      <c r="C194" s="30">
        <f>IFERROR(__xludf.DUMMYFUNCTION("""COMPUTED_VALUE"""),306.3)</f>
        <v>306.3</v>
      </c>
      <c r="D194" s="30">
        <f>IFERROR(__xludf.DUMMYFUNCTION("""COMPUTED_VALUE"""),311.07)</f>
        <v>311.07</v>
      </c>
      <c r="E194" s="30">
        <f>IFERROR(__xludf.DUMMYFUNCTION("""COMPUTED_VALUE"""),305.84)</f>
        <v>305.84</v>
      </c>
      <c r="F194" s="30">
        <f>IFERROR(__xludf.DUMMYFUNCTION("""COMPUTED_VALUE"""),308.42)</f>
        <v>308.42</v>
      </c>
      <c r="G194" s="31">
        <f>IFERROR(__xludf.DUMMYFUNCTION("""COMPUTED_VALUE"""),1.3376678E7)</f>
        <v>13376678</v>
      </c>
      <c r="H194" s="10"/>
    </row>
    <row r="195" ht="17.25" customHeight="1">
      <c r="A195" s="10"/>
      <c r="B195" s="29">
        <f>IFERROR(__xludf.DUMMYFUNCTION("""COMPUTED_VALUE"""),46093.66666666667)</f>
        <v>46093.66667</v>
      </c>
      <c r="C195" s="30">
        <f>IFERROR(__xludf.DUMMYFUNCTION("""COMPUTED_VALUE"""),306.21)</f>
        <v>306.21</v>
      </c>
      <c r="D195" s="30">
        <f>IFERROR(__xludf.DUMMYFUNCTION("""COMPUTED_VALUE"""),308.64)</f>
        <v>308.64</v>
      </c>
      <c r="E195" s="30">
        <f>IFERROR(__xludf.DUMMYFUNCTION("""COMPUTED_VALUE"""),300.84)</f>
        <v>300.84</v>
      </c>
      <c r="F195" s="30">
        <f>IFERROR(__xludf.DUMMYFUNCTION("""COMPUTED_VALUE"""),303.21)</f>
        <v>303.21</v>
      </c>
      <c r="G195" s="31">
        <f>IFERROR(__xludf.DUMMYFUNCTION("""COMPUTED_VALUE"""),1.5610194E7)</f>
        <v>15610194</v>
      </c>
      <c r="H195" s="10"/>
    </row>
    <row r="196" ht="17.25" customHeight="1">
      <c r="A196" s="10"/>
      <c r="B196" s="29">
        <f>IFERROR(__xludf.DUMMYFUNCTION("""COMPUTED_VALUE"""),46094.66666666667)</f>
        <v>46094.66667</v>
      </c>
      <c r="C196" s="30">
        <f>IFERROR(__xludf.DUMMYFUNCTION("""COMPUTED_VALUE"""),306.65)</f>
        <v>306.65</v>
      </c>
      <c r="D196" s="30">
        <f>IFERROR(__xludf.DUMMYFUNCTION("""COMPUTED_VALUE"""),307.26)</f>
        <v>307.26</v>
      </c>
      <c r="E196" s="30">
        <f>IFERROR(__xludf.DUMMYFUNCTION("""COMPUTED_VALUE"""),299.78)</f>
        <v>299.78</v>
      </c>
      <c r="F196" s="30">
        <f>IFERROR(__xludf.DUMMYFUNCTION("""COMPUTED_VALUE"""),301.46)</f>
        <v>301.46</v>
      </c>
      <c r="G196" s="31">
        <f>IFERROR(__xludf.DUMMYFUNCTION("""COMPUTED_VALUE"""),1.6857534E7)</f>
        <v>16857534</v>
      </c>
      <c r="H196" s="10"/>
    </row>
    <row r="197" ht="17.25" customHeight="1">
      <c r="A197" s="10"/>
      <c r="B197" s="29">
        <f>IFERROR(__xludf.DUMMYFUNCTION("""COMPUTED_VALUE"""),46097.66666666667)</f>
        <v>46097.66667</v>
      </c>
      <c r="C197" s="30">
        <f>IFERROR(__xludf.DUMMYFUNCTION("""COMPUTED_VALUE"""),303.6)</f>
        <v>303.6</v>
      </c>
      <c r="D197" s="30">
        <f>IFERROR(__xludf.DUMMYFUNCTION("""COMPUTED_VALUE"""),305.57)</f>
        <v>305.57</v>
      </c>
      <c r="E197" s="30">
        <f>IFERROR(__xludf.DUMMYFUNCTION("""COMPUTED_VALUE"""),301.81)</f>
        <v>301.81</v>
      </c>
      <c r="F197" s="30">
        <f>IFERROR(__xludf.DUMMYFUNCTION("""COMPUTED_VALUE"""),304.42)</f>
        <v>304.42</v>
      </c>
      <c r="G197" s="31">
        <f>IFERROR(__xludf.DUMMYFUNCTION("""COMPUTED_VALUE"""),1.4822047E7)</f>
        <v>14822047</v>
      </c>
      <c r="H197" s="10"/>
    </row>
    <row r="198" ht="17.25" customHeight="1">
      <c r="A198" s="10"/>
      <c r="B198" s="29">
        <f>IFERROR(__xludf.DUMMYFUNCTION("""COMPUTED_VALUE"""),46098.66666666667)</f>
        <v>46098.66667</v>
      </c>
      <c r="C198" s="30">
        <f>IFERROR(__xludf.DUMMYFUNCTION("""COMPUTED_VALUE"""),304.67)</f>
        <v>304.67</v>
      </c>
      <c r="D198" s="30">
        <f>IFERROR(__xludf.DUMMYFUNCTION("""COMPUTED_VALUE"""),310.05)</f>
        <v>310.05</v>
      </c>
      <c r="E198" s="30">
        <f>IFERROR(__xludf.DUMMYFUNCTION("""COMPUTED_VALUE"""),304.35)</f>
        <v>304.35</v>
      </c>
      <c r="F198" s="30">
        <f>IFERROR(__xludf.DUMMYFUNCTION("""COMPUTED_VALUE"""),309.41)</f>
        <v>309.41</v>
      </c>
      <c r="G198" s="31">
        <f>IFERROR(__xludf.DUMMYFUNCTION("""COMPUTED_VALUE"""),1.4423553E7)</f>
        <v>14423553</v>
      </c>
      <c r="H198" s="10"/>
    </row>
    <row r="199" ht="17.25" customHeight="1">
      <c r="A199" s="10"/>
      <c r="B199" s="29">
        <f>IFERROR(__xludf.DUMMYFUNCTION("""COMPUTED_VALUE"""),46099.66666666667)</f>
        <v>46099.66667</v>
      </c>
      <c r="C199" s="30">
        <f>IFERROR(__xludf.DUMMYFUNCTION("""COMPUTED_VALUE"""),307.9)</f>
        <v>307.9</v>
      </c>
      <c r="D199" s="30">
        <f>IFERROR(__xludf.DUMMYFUNCTION("""COMPUTED_VALUE"""),310.75)</f>
        <v>310.75</v>
      </c>
      <c r="E199" s="30">
        <f>IFERROR(__xludf.DUMMYFUNCTION("""COMPUTED_VALUE"""),305.55)</f>
        <v>305.55</v>
      </c>
      <c r="F199" s="30">
        <f>IFERROR(__xludf.DUMMYFUNCTION("""COMPUTED_VALUE"""),306.3)</f>
        <v>306.3</v>
      </c>
      <c r="G199" s="31">
        <f>IFERROR(__xludf.DUMMYFUNCTION("""COMPUTED_VALUE"""),1.3848428E7)</f>
        <v>13848428</v>
      </c>
      <c r="H199" s="10"/>
    </row>
    <row r="200" ht="17.25" customHeight="1">
      <c r="A200" s="10"/>
      <c r="B200" s="29">
        <f>IFERROR(__xludf.DUMMYFUNCTION("""COMPUTED_VALUE"""),46100.66666666667)</f>
        <v>46100.66667</v>
      </c>
      <c r="C200" s="30">
        <f>IFERROR(__xludf.DUMMYFUNCTION("""COMPUTED_VALUE"""),303.21)</f>
        <v>303.21</v>
      </c>
      <c r="D200" s="30">
        <f>IFERROR(__xludf.DUMMYFUNCTION("""COMPUTED_VALUE"""),306.68)</f>
        <v>306.68</v>
      </c>
      <c r="E200" s="30">
        <f>IFERROR(__xludf.DUMMYFUNCTION("""COMPUTED_VALUE"""),301.0)</f>
        <v>301</v>
      </c>
      <c r="F200" s="30">
        <f>IFERROR(__xludf.DUMMYFUNCTION("""COMPUTED_VALUE"""),305.73)</f>
        <v>305.73</v>
      </c>
      <c r="G200" s="31">
        <f>IFERROR(__xludf.DUMMYFUNCTION("""COMPUTED_VALUE"""),1.5399724E7)</f>
        <v>15399724</v>
      </c>
      <c r="H200" s="10"/>
    </row>
    <row r="201" ht="17.25" customHeight="1">
      <c r="A201" s="10"/>
      <c r="B201" s="29">
        <f>IFERROR(__xludf.DUMMYFUNCTION("""COMPUTED_VALUE"""),46101.66666666667)</f>
        <v>46101.66667</v>
      </c>
      <c r="C201" s="30">
        <f>IFERROR(__xludf.DUMMYFUNCTION("""COMPUTED_VALUE"""),304.07)</f>
        <v>304.07</v>
      </c>
      <c r="D201" s="30">
        <f>IFERROR(__xludf.DUMMYFUNCTION("""COMPUTED_VALUE"""),304.37)</f>
        <v>304.37</v>
      </c>
      <c r="E201" s="30">
        <f>IFERROR(__xludf.DUMMYFUNCTION("""COMPUTED_VALUE"""),296.75)</f>
        <v>296.75</v>
      </c>
      <c r="F201" s="30">
        <f>IFERROR(__xludf.DUMMYFUNCTION("""COMPUTED_VALUE"""),298.79)</f>
        <v>298.79</v>
      </c>
      <c r="G201" s="31">
        <f>IFERROR(__xludf.DUMMYFUNCTION("""COMPUTED_VALUE"""),3.4763531E7)</f>
        <v>34763531</v>
      </c>
      <c r="H201" s="10"/>
    </row>
    <row r="202" ht="17.25" customHeight="1">
      <c r="A202" s="10"/>
      <c r="B202" s="29">
        <f>IFERROR(__xludf.DUMMYFUNCTION("""COMPUTED_VALUE"""),46104.66666666667)</f>
        <v>46104.66667</v>
      </c>
      <c r="C202" s="30">
        <f>IFERROR(__xludf.DUMMYFUNCTION("""COMPUTED_VALUE"""),300.53)</f>
        <v>300.53</v>
      </c>
      <c r="D202" s="30">
        <f>IFERROR(__xludf.DUMMYFUNCTION("""COMPUTED_VALUE"""),303.37)</f>
        <v>303.37</v>
      </c>
      <c r="E202" s="30">
        <f>IFERROR(__xludf.DUMMYFUNCTION("""COMPUTED_VALUE"""),298.03)</f>
        <v>298.03</v>
      </c>
      <c r="F202" s="30">
        <f>IFERROR(__xludf.DUMMYFUNCTION("""COMPUTED_VALUE"""),299.02)</f>
        <v>299.02</v>
      </c>
      <c r="G202" s="31">
        <f>IFERROR(__xludf.DUMMYFUNCTION("""COMPUTED_VALUE"""),2.2204113E7)</f>
        <v>22204113</v>
      </c>
      <c r="H202" s="10"/>
    </row>
    <row r="203" ht="17.25" customHeight="1">
      <c r="A203" s="10"/>
      <c r="B203" s="29">
        <f>IFERROR(__xludf.DUMMYFUNCTION("""COMPUTED_VALUE"""),46105.66666666667)</f>
        <v>46105.66667</v>
      </c>
      <c r="C203" s="30">
        <f>IFERROR(__xludf.DUMMYFUNCTION("""COMPUTED_VALUE"""),296.21)</f>
        <v>296.21</v>
      </c>
      <c r="D203" s="30">
        <f>IFERROR(__xludf.DUMMYFUNCTION("""COMPUTED_VALUE"""),297.1)</f>
        <v>297.1</v>
      </c>
      <c r="E203" s="30">
        <f>IFERROR(__xludf.DUMMYFUNCTION("""COMPUTED_VALUE"""),288.86)</f>
        <v>288.86</v>
      </c>
      <c r="F203" s="30">
        <f>IFERROR(__xludf.DUMMYFUNCTION("""COMPUTED_VALUE"""),289.2)</f>
        <v>289.2</v>
      </c>
      <c r="G203" s="31">
        <f>IFERROR(__xludf.DUMMYFUNCTION("""COMPUTED_VALUE"""),2.7411195E7)</f>
        <v>27411195</v>
      </c>
      <c r="H203" s="10"/>
    </row>
    <row r="204" ht="17.25" customHeight="1">
      <c r="A204" s="10"/>
      <c r="B204" s="29">
        <f>IFERROR(__xludf.DUMMYFUNCTION("""COMPUTED_VALUE"""),46106.66666666667)</f>
        <v>46106.66667</v>
      </c>
      <c r="C204" s="30">
        <f>IFERROR(__xludf.DUMMYFUNCTION("""COMPUTED_VALUE"""),292.15)</f>
        <v>292.15</v>
      </c>
      <c r="D204" s="30">
        <f>IFERROR(__xludf.DUMMYFUNCTION("""COMPUTED_VALUE"""),294.66)</f>
        <v>294.66</v>
      </c>
      <c r="E204" s="30">
        <f>IFERROR(__xludf.DUMMYFUNCTION("""COMPUTED_VALUE"""),287.37)</f>
        <v>287.37</v>
      </c>
      <c r="F204" s="30">
        <f>IFERROR(__xludf.DUMMYFUNCTION("""COMPUTED_VALUE"""),289.59)</f>
        <v>289.59</v>
      </c>
      <c r="G204" s="31">
        <f>IFERROR(__xludf.DUMMYFUNCTION("""COMPUTED_VALUE"""),2.2343018E7)</f>
        <v>22343018</v>
      </c>
      <c r="H204" s="10"/>
    </row>
    <row r="205" ht="17.25" customHeight="1">
      <c r="A205" s="10"/>
      <c r="B205" s="29">
        <f>IFERROR(__xludf.DUMMYFUNCTION("""COMPUTED_VALUE"""),46107.66666666667)</f>
        <v>46107.66667</v>
      </c>
      <c r="C205" s="30">
        <f>IFERROR(__xludf.DUMMYFUNCTION("""COMPUTED_VALUE"""),286.19)</f>
        <v>286.19</v>
      </c>
      <c r="D205" s="30">
        <f>IFERROR(__xludf.DUMMYFUNCTION("""COMPUTED_VALUE"""),286.52)</f>
        <v>286.52</v>
      </c>
      <c r="E205" s="30">
        <f>IFERROR(__xludf.DUMMYFUNCTION("""COMPUTED_VALUE"""),279.05)</f>
        <v>279.05</v>
      </c>
      <c r="F205" s="30">
        <f>IFERROR(__xludf.DUMMYFUNCTION("""COMPUTED_VALUE"""),280.74)</f>
        <v>280.74</v>
      </c>
      <c r="G205" s="31">
        <f>IFERROR(__xludf.DUMMYFUNCTION("""COMPUTED_VALUE"""),2.9281208E7)</f>
        <v>29281208</v>
      </c>
      <c r="H205" s="10"/>
    </row>
    <row r="206" ht="17.25" customHeight="1">
      <c r="A206" s="10"/>
      <c r="B206" s="29">
        <f>IFERROR(__xludf.DUMMYFUNCTION("""COMPUTED_VALUE"""),46108.66666666667)</f>
        <v>46108.66667</v>
      </c>
      <c r="C206" s="30">
        <f>IFERROR(__xludf.DUMMYFUNCTION("""COMPUTED_VALUE"""),277.4)</f>
        <v>277.4</v>
      </c>
      <c r="D206" s="30">
        <f>IFERROR(__xludf.DUMMYFUNCTION("""COMPUTED_VALUE"""),279.09)</f>
        <v>279.09</v>
      </c>
      <c r="E206" s="30">
        <f>IFERROR(__xludf.DUMMYFUNCTION("""COMPUTED_VALUE"""),273.48)</f>
        <v>273.48</v>
      </c>
      <c r="F206" s="30">
        <f>IFERROR(__xludf.DUMMYFUNCTION("""COMPUTED_VALUE"""),273.76)</f>
        <v>273.76</v>
      </c>
      <c r="G206" s="31">
        <f>IFERROR(__xludf.DUMMYFUNCTION("""COMPUTED_VALUE"""),2.57033E7)</f>
        <v>25703300</v>
      </c>
      <c r="H206" s="10"/>
    </row>
    <row r="207" ht="17.25" customHeight="1">
      <c r="A207" s="10"/>
      <c r="B207" s="29">
        <f>IFERROR(__xludf.DUMMYFUNCTION("""COMPUTED_VALUE"""),46111.66666666667)</f>
        <v>46111.66667</v>
      </c>
      <c r="C207" s="30">
        <f>IFERROR(__xludf.DUMMYFUNCTION("""COMPUTED_VALUE"""),275.44)</f>
        <v>275.44</v>
      </c>
      <c r="D207" s="30">
        <f>IFERROR(__xludf.DUMMYFUNCTION("""COMPUTED_VALUE"""),276.26)</f>
        <v>276.26</v>
      </c>
      <c r="E207" s="30">
        <f>IFERROR(__xludf.DUMMYFUNCTION("""COMPUTED_VALUE"""),271.54)</f>
        <v>271.54</v>
      </c>
      <c r="F207" s="30">
        <f>IFERROR(__xludf.DUMMYFUNCTION("""COMPUTED_VALUE"""),273.14)</f>
        <v>273.14</v>
      </c>
      <c r="G207" s="31">
        <f>IFERROR(__xludf.DUMMYFUNCTION("""COMPUTED_VALUE"""),2.2752316E7)</f>
        <v>22752316</v>
      </c>
      <c r="H207" s="10"/>
    </row>
    <row r="208" ht="17.25" customHeight="1">
      <c r="A208" s="10"/>
      <c r="B208" s="29">
        <f>IFERROR(__xludf.DUMMYFUNCTION("""COMPUTED_VALUE"""),46112.66666666667)</f>
        <v>46112.66667</v>
      </c>
      <c r="C208" s="30">
        <f>IFERROR(__xludf.DUMMYFUNCTION("""COMPUTED_VALUE"""),277.54)</f>
        <v>277.54</v>
      </c>
      <c r="D208" s="30">
        <f>IFERROR(__xludf.DUMMYFUNCTION("""COMPUTED_VALUE"""),287.05)</f>
        <v>287.05</v>
      </c>
      <c r="E208" s="30">
        <f>IFERROR(__xludf.DUMMYFUNCTION("""COMPUTED_VALUE"""),276.76)</f>
        <v>276.76</v>
      </c>
      <c r="F208" s="30">
        <f>IFERROR(__xludf.DUMMYFUNCTION("""COMPUTED_VALUE"""),286.86)</f>
        <v>286.86</v>
      </c>
      <c r="G208" s="31">
        <f>IFERROR(__xludf.DUMMYFUNCTION("""COMPUTED_VALUE"""),3.1625058E7)</f>
        <v>31625058</v>
      </c>
      <c r="H208" s="10"/>
    </row>
    <row r="209" ht="17.25" customHeight="1">
      <c r="A209" s="10"/>
      <c r="B209" s="29">
        <f>IFERROR(__xludf.DUMMYFUNCTION("""COMPUTED_VALUE"""),46113.66666666667)</f>
        <v>46113.66667</v>
      </c>
      <c r="C209" s="30">
        <f>IFERROR(__xludf.DUMMYFUNCTION("""COMPUTED_VALUE"""),289.98)</f>
        <v>289.98</v>
      </c>
      <c r="D209" s="30">
        <f>IFERROR(__xludf.DUMMYFUNCTION("""COMPUTED_VALUE"""),297.99)</f>
        <v>297.99</v>
      </c>
      <c r="E209" s="30">
        <f>IFERROR(__xludf.DUMMYFUNCTION("""COMPUTED_VALUE"""),289.47)</f>
        <v>289.47</v>
      </c>
      <c r="F209" s="30">
        <f>IFERROR(__xludf.DUMMYFUNCTION("""COMPUTED_VALUE"""),294.9)</f>
        <v>294.9</v>
      </c>
      <c r="G209" s="31">
        <f>IFERROR(__xludf.DUMMYFUNCTION("""COMPUTED_VALUE"""),2.4403551E7)</f>
        <v>24403551</v>
      </c>
      <c r="H209" s="10"/>
    </row>
    <row r="210" ht="17.25" customHeight="1">
      <c r="A210" s="10"/>
      <c r="B210" s="29">
        <f>IFERROR(__xludf.DUMMYFUNCTION("""COMPUTED_VALUE"""),46114.66666666667)</f>
        <v>46114.66667</v>
      </c>
      <c r="C210" s="30">
        <f>IFERROR(__xludf.DUMMYFUNCTION("""COMPUTED_VALUE"""),288.99)</f>
        <v>288.99</v>
      </c>
      <c r="D210" s="30">
        <f>IFERROR(__xludf.DUMMYFUNCTION("""COMPUTED_VALUE"""),295.9)</f>
        <v>295.9</v>
      </c>
      <c r="E210" s="30">
        <f>IFERROR(__xludf.DUMMYFUNCTION("""COMPUTED_VALUE"""),287.57)</f>
        <v>287.57</v>
      </c>
      <c r="F210" s="30">
        <f>IFERROR(__xludf.DUMMYFUNCTION("""COMPUTED_VALUE"""),294.46)</f>
        <v>294.46</v>
      </c>
      <c r="G210" s="31">
        <f>IFERROR(__xludf.DUMMYFUNCTION("""COMPUTED_VALUE"""),1.3433366E7)</f>
        <v>13433366</v>
      </c>
      <c r="H210" s="10"/>
    </row>
    <row r="211" ht="17.25" customHeight="1">
      <c r="A211" s="10"/>
      <c r="B211" s="29">
        <f>IFERROR(__xludf.DUMMYFUNCTION("""COMPUTED_VALUE"""),46118.66666666667)</f>
        <v>46118.66667</v>
      </c>
      <c r="C211" s="30">
        <f>IFERROR(__xludf.DUMMYFUNCTION("""COMPUTED_VALUE"""),294.7)</f>
        <v>294.7</v>
      </c>
      <c r="D211" s="30">
        <f>IFERROR(__xludf.DUMMYFUNCTION("""COMPUTED_VALUE"""),298.43)</f>
        <v>298.43</v>
      </c>
      <c r="E211" s="30">
        <f>IFERROR(__xludf.DUMMYFUNCTION("""COMPUTED_VALUE"""),293.79)</f>
        <v>293.79</v>
      </c>
      <c r="F211" s="30">
        <f>IFERROR(__xludf.DUMMYFUNCTION("""COMPUTED_VALUE"""),297.66)</f>
        <v>297.66</v>
      </c>
      <c r="G211" s="31">
        <f>IFERROR(__xludf.DUMMYFUNCTION("""COMPUTED_VALUE"""),1.0121742E7)</f>
        <v>10121742</v>
      </c>
      <c r="H211" s="10"/>
    </row>
    <row r="212" ht="17.25" customHeight="1">
      <c r="A212" s="10"/>
      <c r="B212" s="29">
        <f>IFERROR(__xludf.DUMMYFUNCTION("""COMPUTED_VALUE"""),46119.66666666667)</f>
        <v>46119.66667</v>
      </c>
      <c r="C212" s="30">
        <f>IFERROR(__xludf.DUMMYFUNCTION("""COMPUTED_VALUE"""),300.14)</f>
        <v>300.14</v>
      </c>
      <c r="D212" s="30">
        <f>IFERROR(__xludf.DUMMYFUNCTION("""COMPUTED_VALUE"""),304.1)</f>
        <v>304.1</v>
      </c>
      <c r="E212" s="30">
        <f>IFERROR(__xludf.DUMMYFUNCTION("""COMPUTED_VALUE"""),295.43)</f>
        <v>295.43</v>
      </c>
      <c r="F212" s="30">
        <f>IFERROR(__xludf.DUMMYFUNCTION("""COMPUTED_VALUE"""),303.93)</f>
        <v>303.93</v>
      </c>
      <c r="G212" s="31">
        <f>IFERROR(__xludf.DUMMYFUNCTION("""COMPUTED_VALUE"""),1.7317709E7)</f>
        <v>17317709</v>
      </c>
      <c r="H212" s="10"/>
    </row>
    <row r="213" ht="17.25" customHeight="1">
      <c r="A213" s="10"/>
      <c r="B213" s="29">
        <f>IFERROR(__xludf.DUMMYFUNCTION("""COMPUTED_VALUE"""),46120.66666666667)</f>
        <v>46120.66667</v>
      </c>
      <c r="C213" s="30">
        <f>IFERROR(__xludf.DUMMYFUNCTION("""COMPUTED_VALUE"""),317.83)</f>
        <v>317.83</v>
      </c>
      <c r="D213" s="30">
        <f>IFERROR(__xludf.DUMMYFUNCTION("""COMPUTED_VALUE"""),319.39)</f>
        <v>319.39</v>
      </c>
      <c r="E213" s="30">
        <f>IFERROR(__xludf.DUMMYFUNCTION("""COMPUTED_VALUE"""),312.71)</f>
        <v>312.71</v>
      </c>
      <c r="F213" s="30">
        <f>IFERROR(__xludf.DUMMYFUNCTION("""COMPUTED_VALUE"""),314.74)</f>
        <v>314.74</v>
      </c>
      <c r="G213" s="31">
        <f>IFERROR(__xludf.DUMMYFUNCTION("""COMPUTED_VALUE"""),2.088753E7)</f>
        <v>20887530</v>
      </c>
      <c r="H213" s="10"/>
    </row>
    <row r="214" ht="17.25" customHeight="1">
      <c r="A214" s="10"/>
      <c r="B214" s="29">
        <f>IFERROR(__xludf.DUMMYFUNCTION("""COMPUTED_VALUE"""),46121.66666666667)</f>
        <v>46121.66667</v>
      </c>
      <c r="C214" s="30">
        <f>IFERROR(__xludf.DUMMYFUNCTION("""COMPUTED_VALUE"""),313.19)</f>
        <v>313.19</v>
      </c>
      <c r="D214" s="30">
        <f>IFERROR(__xludf.DUMMYFUNCTION("""COMPUTED_VALUE"""),317.43)</f>
        <v>317.43</v>
      </c>
      <c r="E214" s="30">
        <f>IFERROR(__xludf.DUMMYFUNCTION("""COMPUTED_VALUE"""),309.47)</f>
        <v>309.47</v>
      </c>
      <c r="F214" s="30">
        <f>IFERROR(__xludf.DUMMYFUNCTION("""COMPUTED_VALUE"""),316.37)</f>
        <v>316.37</v>
      </c>
      <c r="G214" s="31">
        <f>IFERROR(__xludf.DUMMYFUNCTION("""COMPUTED_VALUE"""),1.4606752E7)</f>
        <v>14606752</v>
      </c>
      <c r="H214" s="10"/>
    </row>
    <row r="215" ht="17.25" customHeight="1">
      <c r="A215" s="10"/>
      <c r="B215" s="29">
        <f>IFERROR(__xludf.DUMMYFUNCTION("""COMPUTED_VALUE"""),46122.66666666667)</f>
        <v>46122.66667</v>
      </c>
      <c r="C215" s="30">
        <f>IFERROR(__xludf.DUMMYFUNCTION("""COMPUTED_VALUE"""),318.23)</f>
        <v>318.23</v>
      </c>
      <c r="D215" s="30">
        <f>IFERROR(__xludf.DUMMYFUNCTION("""COMPUTED_VALUE"""),319.5)</f>
        <v>319.5</v>
      </c>
      <c r="E215" s="30">
        <f>IFERROR(__xludf.DUMMYFUNCTION("""COMPUTED_VALUE"""),314.54)</f>
        <v>314.54</v>
      </c>
      <c r="F215" s="30">
        <f>IFERROR(__xludf.DUMMYFUNCTION("""COMPUTED_VALUE"""),315.72)</f>
        <v>315.72</v>
      </c>
      <c r="G215" s="31">
        <f>IFERROR(__xludf.DUMMYFUNCTION("""COMPUTED_VALUE"""),1.1997647E7)</f>
        <v>11997647</v>
      </c>
      <c r="H215" s="10"/>
    </row>
    <row r="216" ht="17.25" customHeight="1">
      <c r="A216" s="10"/>
      <c r="B216" s="29">
        <f>IFERROR(__xludf.DUMMYFUNCTION("""COMPUTED_VALUE"""),46125.66666666667)</f>
        <v>46125.66667</v>
      </c>
      <c r="C216" s="30">
        <f>IFERROR(__xludf.DUMMYFUNCTION("""COMPUTED_VALUE"""),315.42)</f>
        <v>315.42</v>
      </c>
      <c r="D216" s="30">
        <f>IFERROR(__xludf.DUMMYFUNCTION("""COMPUTED_VALUE"""),319.43)</f>
        <v>319.43</v>
      </c>
      <c r="E216" s="30">
        <f>IFERROR(__xludf.DUMMYFUNCTION("""COMPUTED_VALUE"""),313.69)</f>
        <v>313.69</v>
      </c>
      <c r="F216" s="30">
        <f>IFERROR(__xludf.DUMMYFUNCTION("""COMPUTED_VALUE"""),319.21)</f>
        <v>319.21</v>
      </c>
      <c r="G216" s="31">
        <f>IFERROR(__xludf.DUMMYFUNCTION("""COMPUTED_VALUE"""),1.2212807E7)</f>
        <v>12212807</v>
      </c>
      <c r="H216" s="10"/>
    </row>
    <row r="217" ht="17.25" customHeight="1">
      <c r="A217" s="10"/>
      <c r="B217" s="29">
        <f>IFERROR(__xludf.DUMMYFUNCTION("""COMPUTED_VALUE"""),46126.66666666667)</f>
        <v>46126.66667</v>
      </c>
      <c r="C217" s="30">
        <f>IFERROR(__xludf.DUMMYFUNCTION("""COMPUTED_VALUE"""),322.07)</f>
        <v>322.07</v>
      </c>
      <c r="D217" s="30">
        <f>IFERROR(__xludf.DUMMYFUNCTION("""COMPUTED_VALUE"""),330.64)</f>
        <v>330.64</v>
      </c>
      <c r="E217" s="30">
        <f>IFERROR(__xludf.DUMMYFUNCTION("""COMPUTED_VALUE"""),321.15)</f>
        <v>321.15</v>
      </c>
      <c r="F217" s="30">
        <f>IFERROR(__xludf.DUMMYFUNCTION("""COMPUTED_VALUE"""),330.58)</f>
        <v>330.58</v>
      </c>
      <c r="G217" s="31">
        <f>IFERROR(__xludf.DUMMYFUNCTION("""COMPUTED_VALUE"""),1.855748E7)</f>
        <v>18557480</v>
      </c>
      <c r="H217" s="10"/>
    </row>
    <row r="218" ht="17.25" customHeight="1">
      <c r="A218" s="10"/>
      <c r="B218" s="29">
        <f>IFERROR(__xludf.DUMMYFUNCTION("""COMPUTED_VALUE"""),46127.66666666667)</f>
        <v>46127.66667</v>
      </c>
      <c r="C218" s="30">
        <f>IFERROR(__xludf.DUMMYFUNCTION("""COMPUTED_VALUE"""),330.56)</f>
        <v>330.56</v>
      </c>
      <c r="D218" s="30">
        <f>IFERROR(__xludf.DUMMYFUNCTION("""COMPUTED_VALUE"""),335.0)</f>
        <v>335</v>
      </c>
      <c r="E218" s="30">
        <f>IFERROR(__xludf.DUMMYFUNCTION("""COMPUTED_VALUE"""),328.66)</f>
        <v>328.66</v>
      </c>
      <c r="F218" s="30">
        <f>IFERROR(__xludf.DUMMYFUNCTION("""COMPUTED_VALUE"""),334.47)</f>
        <v>334.47</v>
      </c>
      <c r="G218" s="31">
        <f>IFERROR(__xludf.DUMMYFUNCTION("""COMPUTED_VALUE"""),1.5104097E7)</f>
        <v>15104097</v>
      </c>
      <c r="H218" s="10"/>
    </row>
    <row r="219" ht="17.25" customHeight="1">
      <c r="A219" s="10"/>
      <c r="B219" s="29">
        <f>IFERROR(__xludf.DUMMYFUNCTION("""COMPUTED_VALUE"""),46128.66666666667)</f>
        <v>46128.66667</v>
      </c>
      <c r="C219" s="30">
        <f>IFERROR(__xludf.DUMMYFUNCTION("""COMPUTED_VALUE"""),335.85)</f>
        <v>335.85</v>
      </c>
      <c r="D219" s="30">
        <f>IFERROR(__xludf.DUMMYFUNCTION("""COMPUTED_VALUE"""),337.38)</f>
        <v>337.38</v>
      </c>
      <c r="E219" s="30">
        <f>IFERROR(__xludf.DUMMYFUNCTION("""COMPUTED_VALUE"""),331.65)</f>
        <v>331.65</v>
      </c>
      <c r="F219" s="30">
        <f>IFERROR(__xludf.DUMMYFUNCTION("""COMPUTED_VALUE"""),332.77)</f>
        <v>332.77</v>
      </c>
      <c r="G219" s="31">
        <f>IFERROR(__xludf.DUMMYFUNCTION("""COMPUTED_VALUE"""),1.3949592E7)</f>
        <v>13949592</v>
      </c>
      <c r="H219" s="10"/>
    </row>
    <row r="220" ht="17.25" customHeight="1">
      <c r="A220" s="10"/>
      <c r="B220" s="29">
        <f>IFERROR(__xludf.DUMMYFUNCTION("""COMPUTED_VALUE"""),46129.66666666667)</f>
        <v>46129.66667</v>
      </c>
      <c r="C220" s="30">
        <f>IFERROR(__xludf.DUMMYFUNCTION("""COMPUTED_VALUE"""),334.43)</f>
        <v>334.43</v>
      </c>
      <c r="D220" s="30">
        <f>IFERROR(__xludf.DUMMYFUNCTION("""COMPUTED_VALUE"""),339.99)</f>
        <v>339.99</v>
      </c>
      <c r="E220" s="30">
        <f>IFERROR(__xludf.DUMMYFUNCTION("""COMPUTED_VALUE"""),333.29)</f>
        <v>333.29</v>
      </c>
      <c r="F220" s="30">
        <f>IFERROR(__xludf.DUMMYFUNCTION("""COMPUTED_VALUE"""),339.4)</f>
        <v>339.4</v>
      </c>
      <c r="G220" s="31">
        <f>IFERROR(__xludf.DUMMYFUNCTION("""COMPUTED_VALUE"""),1.9683849E7)</f>
        <v>19683849</v>
      </c>
      <c r="H220" s="10"/>
    </row>
    <row r="221" ht="17.25" customHeight="1">
      <c r="A221" s="10"/>
      <c r="B221" s="29">
        <f>IFERROR(__xludf.DUMMYFUNCTION("""COMPUTED_VALUE"""),46132.66666666667)</f>
        <v>46132.66667</v>
      </c>
      <c r="C221" s="30">
        <f>IFERROR(__xludf.DUMMYFUNCTION("""COMPUTED_VALUE"""),338.56)</f>
        <v>338.56</v>
      </c>
      <c r="D221" s="30">
        <f>IFERROR(__xludf.DUMMYFUNCTION("""COMPUTED_VALUE"""),339.16)</f>
        <v>339.16</v>
      </c>
      <c r="E221" s="30">
        <f>IFERROR(__xludf.DUMMYFUNCTION("""COMPUTED_VALUE"""),334.63)</f>
        <v>334.63</v>
      </c>
      <c r="F221" s="30">
        <f>IFERROR(__xludf.DUMMYFUNCTION("""COMPUTED_VALUE"""),335.4)</f>
        <v>335.4</v>
      </c>
      <c r="G221" s="31">
        <f>IFERROR(__xludf.DUMMYFUNCTION("""COMPUTED_VALUE"""),1.2897265E7)</f>
        <v>12897265</v>
      </c>
      <c r="H221" s="10"/>
    </row>
    <row r="222" ht="17.25" customHeight="1">
      <c r="A222" s="10"/>
      <c r="B222" s="29">
        <f>IFERROR(__xludf.DUMMYFUNCTION("""COMPUTED_VALUE"""),46133.66666666667)</f>
        <v>46133.66667</v>
      </c>
      <c r="C222" s="30">
        <f>IFERROR(__xludf.DUMMYFUNCTION("""COMPUTED_VALUE"""),335.59)</f>
        <v>335.59</v>
      </c>
      <c r="D222" s="30">
        <f>IFERROR(__xludf.DUMMYFUNCTION("""COMPUTED_VALUE"""),337.17)</f>
        <v>337.17</v>
      </c>
      <c r="E222" s="30">
        <f>IFERROR(__xludf.DUMMYFUNCTION("""COMPUTED_VALUE"""),329.63)</f>
        <v>329.63</v>
      </c>
      <c r="F222" s="30">
        <f>IFERROR(__xludf.DUMMYFUNCTION("""COMPUTED_VALUE"""),330.47)</f>
        <v>330.47</v>
      </c>
      <c r="G222" s="31">
        <f>IFERROR(__xludf.DUMMYFUNCTION("""COMPUTED_VALUE"""),1.4623836E7)</f>
        <v>14623836</v>
      </c>
      <c r="H222" s="10"/>
    </row>
    <row r="223" ht="17.25" customHeight="1">
      <c r="A223" s="10"/>
      <c r="B223" s="29">
        <f>IFERROR(__xludf.DUMMYFUNCTION("""COMPUTED_VALUE"""),46134.66666666667)</f>
        <v>46134.66667</v>
      </c>
      <c r="C223" s="30">
        <f>IFERROR(__xludf.DUMMYFUNCTION("""COMPUTED_VALUE"""),334.89)</f>
        <v>334.89</v>
      </c>
      <c r="D223" s="30">
        <f>IFERROR(__xludf.DUMMYFUNCTION("""COMPUTED_VALUE"""),338.03)</f>
        <v>338.03</v>
      </c>
      <c r="E223" s="30">
        <f>IFERROR(__xludf.DUMMYFUNCTION("""COMPUTED_VALUE"""),332.96)</f>
        <v>332.96</v>
      </c>
      <c r="F223" s="30">
        <f>IFERROR(__xludf.DUMMYFUNCTION("""COMPUTED_VALUE"""),337.73)</f>
        <v>337.73</v>
      </c>
      <c r="G223" s="31">
        <f>IFERROR(__xludf.DUMMYFUNCTION("""COMPUTED_VALUE"""),1.2954246E7)</f>
        <v>12954246</v>
      </c>
      <c r="H223" s="10"/>
    </row>
    <row r="224" ht="17.25" customHeight="1">
      <c r="A224" s="10"/>
      <c r="B224" s="29">
        <f>IFERROR(__xludf.DUMMYFUNCTION("""COMPUTED_VALUE"""),46135.66666666667)</f>
        <v>46135.66667</v>
      </c>
      <c r="C224" s="30">
        <f>IFERROR(__xludf.DUMMYFUNCTION("""COMPUTED_VALUE"""),339.58)</f>
        <v>339.58</v>
      </c>
      <c r="D224" s="30">
        <f>IFERROR(__xludf.DUMMYFUNCTION("""COMPUTED_VALUE"""),340.16)</f>
        <v>340.16</v>
      </c>
      <c r="E224" s="30">
        <f>IFERROR(__xludf.DUMMYFUNCTION("""COMPUTED_VALUE"""),335.06)</f>
        <v>335.06</v>
      </c>
      <c r="F224" s="30">
        <f>IFERROR(__xludf.DUMMYFUNCTION("""COMPUTED_VALUE"""),337.75)</f>
        <v>337.75</v>
      </c>
      <c r="G224" s="31">
        <f>IFERROR(__xludf.DUMMYFUNCTION("""COMPUTED_VALUE"""),1.3442136E7)</f>
        <v>13442136</v>
      </c>
      <c r="H224" s="10"/>
    </row>
    <row r="225" ht="17.25" customHeight="1">
      <c r="A225" s="10"/>
      <c r="B225" s="29">
        <f>IFERROR(__xludf.DUMMYFUNCTION("""COMPUTED_VALUE"""),46136.66666666667)</f>
        <v>46136.66667</v>
      </c>
      <c r="C225" s="30">
        <f>IFERROR(__xludf.DUMMYFUNCTION("""COMPUTED_VALUE"""),337.72)</f>
        <v>337.72</v>
      </c>
      <c r="D225" s="30">
        <f>IFERROR(__xludf.DUMMYFUNCTION("""COMPUTED_VALUE"""),343.69)</f>
        <v>343.69</v>
      </c>
      <c r="E225" s="30">
        <f>IFERROR(__xludf.DUMMYFUNCTION("""COMPUTED_VALUE"""),334.05)</f>
        <v>334.05</v>
      </c>
      <c r="F225" s="30">
        <f>IFERROR(__xludf.DUMMYFUNCTION("""COMPUTED_VALUE"""),342.32)</f>
        <v>342.32</v>
      </c>
      <c r="G225" s="31">
        <f>IFERROR(__xludf.DUMMYFUNCTION("""COMPUTED_VALUE"""),1.8260863E7)</f>
        <v>18260863</v>
      </c>
      <c r="H225" s="10"/>
    </row>
    <row r="226" ht="17.25" customHeight="1">
      <c r="A226" s="10"/>
      <c r="B226" s="29">
        <f>IFERROR(__xludf.DUMMYFUNCTION("""COMPUTED_VALUE"""),46139.66666666667)</f>
        <v>46139.66667</v>
      </c>
      <c r="C226" s="30">
        <f>IFERROR(__xludf.DUMMYFUNCTION("""COMPUTED_VALUE"""),343.88)</f>
        <v>343.88</v>
      </c>
      <c r="D226" s="30">
        <f>IFERROR(__xludf.DUMMYFUNCTION("""COMPUTED_VALUE"""),350.9)</f>
        <v>350.9</v>
      </c>
      <c r="E226" s="30">
        <f>IFERROR(__xludf.DUMMYFUNCTION("""COMPUTED_VALUE"""),340.81)</f>
        <v>340.81</v>
      </c>
      <c r="F226" s="30">
        <f>IFERROR(__xludf.DUMMYFUNCTION("""COMPUTED_VALUE"""),348.52)</f>
        <v>348.52</v>
      </c>
      <c r="G226" s="31">
        <f>IFERROR(__xludf.DUMMYFUNCTION("""COMPUTED_VALUE"""),1.7443019E7)</f>
        <v>17443019</v>
      </c>
      <c r="H226" s="10"/>
    </row>
    <row r="227" ht="17.25" customHeight="1">
      <c r="A227" s="10"/>
      <c r="B227" s="29">
        <f>IFERROR(__xludf.DUMMYFUNCTION("""COMPUTED_VALUE"""),46140.66666666667)</f>
        <v>46140.66667</v>
      </c>
      <c r="C227" s="30">
        <f>IFERROR(__xludf.DUMMYFUNCTION("""COMPUTED_VALUE"""),346.92)</f>
        <v>346.92</v>
      </c>
      <c r="D227" s="30">
        <f>IFERROR(__xludf.DUMMYFUNCTION("""COMPUTED_VALUE"""),349.9)</f>
        <v>349.9</v>
      </c>
      <c r="E227" s="30">
        <f>IFERROR(__xludf.DUMMYFUNCTION("""COMPUTED_VALUE"""),344.28)</f>
        <v>344.28</v>
      </c>
      <c r="F227" s="30">
        <f>IFERROR(__xludf.DUMMYFUNCTION("""COMPUTED_VALUE"""),347.5)</f>
        <v>347.5</v>
      </c>
      <c r="G227" s="31">
        <f>IFERROR(__xludf.DUMMYFUNCTION("""COMPUTED_VALUE"""),1.8502342E7)</f>
        <v>18502342</v>
      </c>
      <c r="H227" s="10"/>
    </row>
    <row r="228" ht="17.25" customHeight="1">
      <c r="A228" s="10"/>
      <c r="B228" s="29">
        <f>IFERROR(__xludf.DUMMYFUNCTION("""COMPUTED_VALUE"""),46141.66666666667)</f>
        <v>46141.66667</v>
      </c>
      <c r="C228" s="30">
        <f>IFERROR(__xludf.DUMMYFUNCTION("""COMPUTED_VALUE"""),345.48)</f>
        <v>345.48</v>
      </c>
      <c r="D228" s="30">
        <f>IFERROR(__xludf.DUMMYFUNCTION("""COMPUTED_VALUE"""),353.4)</f>
        <v>353.4</v>
      </c>
      <c r="E228" s="30">
        <f>IFERROR(__xludf.DUMMYFUNCTION("""COMPUTED_VALUE"""),342.43)</f>
        <v>342.43</v>
      </c>
      <c r="F228" s="30">
        <f>IFERROR(__xludf.DUMMYFUNCTION("""COMPUTED_VALUE"""),347.31)</f>
        <v>347.31</v>
      </c>
      <c r="G228" s="31">
        <f>IFERROR(__xludf.DUMMYFUNCTION("""COMPUTED_VALUE"""),2.2232155E7)</f>
        <v>22232155</v>
      </c>
      <c r="H228" s="10"/>
    </row>
    <row r="229" ht="17.25" customHeight="1">
      <c r="A229" s="10"/>
      <c r="B229" s="29">
        <f>IFERROR(__xludf.DUMMYFUNCTION("""COMPUTED_VALUE"""),46142.66666666667)</f>
        <v>46142.66667</v>
      </c>
      <c r="C229" s="30">
        <f>IFERROR(__xludf.DUMMYFUNCTION("""COMPUTED_VALUE"""),371.26)</f>
        <v>371.26</v>
      </c>
      <c r="D229" s="30">
        <f>IFERROR(__xludf.DUMMYFUNCTION("""COMPUTED_VALUE"""),382.63)</f>
        <v>382.63</v>
      </c>
      <c r="E229" s="30">
        <f>IFERROR(__xludf.DUMMYFUNCTION("""COMPUTED_VALUE"""),363.09)</f>
        <v>363.09</v>
      </c>
      <c r="F229" s="30">
        <f>IFERROR(__xludf.DUMMYFUNCTION("""COMPUTED_VALUE"""),381.94)</f>
        <v>381.94</v>
      </c>
      <c r="G229" s="31">
        <f>IFERROR(__xludf.DUMMYFUNCTION("""COMPUTED_VALUE"""),4.4570524E7)</f>
        <v>44570524</v>
      </c>
      <c r="H229" s="10"/>
    </row>
    <row r="230" ht="17.25" customHeight="1">
      <c r="A230" s="10"/>
      <c r="B230" s="29">
        <f>IFERROR(__xludf.DUMMYFUNCTION("""COMPUTED_VALUE"""),46143.66666666667)</f>
        <v>46143.66667</v>
      </c>
      <c r="C230" s="30">
        <f>IFERROR(__xludf.DUMMYFUNCTION("""COMPUTED_VALUE"""),377.98)</f>
        <v>377.98</v>
      </c>
      <c r="D230" s="30">
        <f>IFERROR(__xludf.DUMMYFUNCTION("""COMPUTED_VALUE"""),383.39)</f>
        <v>383.39</v>
      </c>
      <c r="E230" s="30">
        <f>IFERROR(__xludf.DUMMYFUNCTION("""COMPUTED_VALUE"""),375.26)</f>
        <v>375.26</v>
      </c>
      <c r="F230" s="30">
        <f>IFERROR(__xludf.DUMMYFUNCTION("""COMPUTED_VALUE"""),383.22)</f>
        <v>383.22</v>
      </c>
      <c r="G230" s="31">
        <f>IFERROR(__xludf.DUMMYFUNCTION("""COMPUTED_VALUE"""),2.8047873E7)</f>
        <v>28047873</v>
      </c>
      <c r="H230" s="10"/>
    </row>
    <row r="231" ht="17.25" customHeight="1">
      <c r="A231" s="10"/>
      <c r="B231" s="29">
        <f>IFERROR(__xludf.DUMMYFUNCTION("""COMPUTED_VALUE"""),46146.66666666667)</f>
        <v>46146.66667</v>
      </c>
      <c r="C231" s="30">
        <f>IFERROR(__xludf.DUMMYFUNCTION("""COMPUTED_VALUE"""),382.32)</f>
        <v>382.32</v>
      </c>
      <c r="D231" s="30">
        <f>IFERROR(__xludf.DUMMYFUNCTION("""COMPUTED_VALUE"""),384.18)</f>
        <v>384.18</v>
      </c>
      <c r="E231" s="30">
        <f>IFERROR(__xludf.DUMMYFUNCTION("""COMPUTED_VALUE"""),376.77)</f>
        <v>376.77</v>
      </c>
      <c r="F231" s="30">
        <f>IFERROR(__xludf.DUMMYFUNCTION("""COMPUTED_VALUE"""),379.64)</f>
        <v>379.64</v>
      </c>
      <c r="G231" s="31">
        <f>IFERROR(__xludf.DUMMYFUNCTION("""COMPUTED_VALUE"""),1.8275044E7)</f>
        <v>18275044</v>
      </c>
      <c r="H231" s="10"/>
    </row>
    <row r="232" ht="17.25" customHeight="1">
      <c r="A232" s="10"/>
      <c r="B232" s="29">
        <f>IFERROR(__xludf.DUMMYFUNCTION("""COMPUTED_VALUE"""),46147.66666666667)</f>
        <v>46147.66667</v>
      </c>
      <c r="C232" s="30">
        <f>IFERROR(__xludf.DUMMYFUNCTION("""COMPUTED_VALUE"""),381.87)</f>
        <v>381.87</v>
      </c>
      <c r="D232" s="30">
        <f>IFERROR(__xludf.DUMMYFUNCTION("""COMPUTED_VALUE"""),388.96)</f>
        <v>388.96</v>
      </c>
      <c r="E232" s="30">
        <f>IFERROR(__xludf.DUMMYFUNCTION("""COMPUTED_VALUE"""),380.35)</f>
        <v>380.35</v>
      </c>
      <c r="F232" s="30">
        <f>IFERROR(__xludf.DUMMYFUNCTION("""COMPUTED_VALUE"""),384.27)</f>
        <v>384.27</v>
      </c>
      <c r="G232" s="31">
        <f>IFERROR(__xludf.DUMMYFUNCTION("""COMPUTED_VALUE"""),1.5432468E7)</f>
        <v>15432468</v>
      </c>
      <c r="H232" s="10"/>
    </row>
    <row r="233" ht="17.25" customHeight="1">
      <c r="A233" s="10"/>
      <c r="B233" s="29">
        <f>IFERROR(__xludf.DUMMYFUNCTION("""COMPUTED_VALUE"""),46148.66666666667)</f>
        <v>46148.66667</v>
      </c>
      <c r="C233" s="30">
        <f>IFERROR(__xludf.DUMMYFUNCTION("""COMPUTED_VALUE"""),389.59)</f>
        <v>389.59</v>
      </c>
      <c r="D233" s="30">
        <f>IFERROR(__xludf.DUMMYFUNCTION("""COMPUTED_VALUE"""),396.38)</f>
        <v>396.38</v>
      </c>
      <c r="E233" s="30">
        <f>IFERROR(__xludf.DUMMYFUNCTION("""COMPUTED_VALUE"""),387.1)</f>
        <v>387.1</v>
      </c>
      <c r="F233" s="30">
        <f>IFERROR(__xludf.DUMMYFUNCTION("""COMPUTED_VALUE"""),395.14)</f>
        <v>395.14</v>
      </c>
      <c r="G233" s="31">
        <f>IFERROR(__xludf.DUMMYFUNCTION("""COMPUTED_VALUE"""),2.3097346E7)</f>
        <v>23097346</v>
      </c>
      <c r="H233" s="10"/>
    </row>
    <row r="234" ht="17.25" customHeight="1">
      <c r="A234" s="10"/>
      <c r="B234" s="29">
        <f>IFERROR(__xludf.DUMMYFUNCTION("""COMPUTED_VALUE"""),46149.66666666667)</f>
        <v>46149.66667</v>
      </c>
      <c r="C234" s="30">
        <f>IFERROR(__xludf.DUMMYFUNCTION("""COMPUTED_VALUE"""),397.06)</f>
        <v>397.06</v>
      </c>
      <c r="D234" s="30">
        <f>IFERROR(__xludf.DUMMYFUNCTION("""COMPUTED_VALUE"""),397.36)</f>
        <v>397.36</v>
      </c>
      <c r="E234" s="30">
        <f>IFERROR(__xludf.DUMMYFUNCTION("""COMPUTED_VALUE"""),390.31)</f>
        <v>390.31</v>
      </c>
      <c r="F234" s="30">
        <f>IFERROR(__xludf.DUMMYFUNCTION("""COMPUTED_VALUE"""),395.3)</f>
        <v>395.3</v>
      </c>
      <c r="G234" s="31">
        <f>IFERROR(__xludf.DUMMYFUNCTION("""COMPUTED_VALUE"""),1.5153627E7)</f>
        <v>15153627</v>
      </c>
      <c r="H234" s="10"/>
    </row>
    <row r="235" ht="17.25" customHeight="1">
      <c r="A235" s="10"/>
      <c r="B235" s="29">
        <f>IFERROR(__xludf.DUMMYFUNCTION("""COMPUTED_VALUE"""),46150.66666666667)</f>
        <v>46150.66667</v>
      </c>
      <c r="C235" s="30">
        <f>IFERROR(__xludf.DUMMYFUNCTION("""COMPUTED_VALUE"""),394.27)</f>
        <v>394.27</v>
      </c>
      <c r="D235" s="30">
        <f>IFERROR(__xludf.DUMMYFUNCTION("""COMPUTED_VALUE"""),398.37)</f>
        <v>398.37</v>
      </c>
      <c r="E235" s="30">
        <f>IFERROR(__xludf.DUMMYFUNCTION("""COMPUTED_VALUE"""),393.67)</f>
        <v>393.67</v>
      </c>
      <c r="F235" s="30">
        <f>IFERROR(__xludf.DUMMYFUNCTION("""COMPUTED_VALUE"""),397.05)</f>
        <v>397.05</v>
      </c>
      <c r="G235" s="31">
        <f>IFERROR(__xludf.DUMMYFUNCTION("""COMPUTED_VALUE"""),1.3762461E7)</f>
        <v>13762461</v>
      </c>
      <c r="H235" s="10"/>
    </row>
    <row r="236" ht="17.25" customHeight="1">
      <c r="A236" s="10"/>
      <c r="B236" s="29">
        <f>IFERROR(__xludf.DUMMYFUNCTION("""COMPUTED_VALUE"""),46153.66666666667)</f>
        <v>46153.66667</v>
      </c>
      <c r="C236" s="30">
        <f>IFERROR(__xludf.DUMMYFUNCTION("""COMPUTED_VALUE"""),390.69)</f>
        <v>390.69</v>
      </c>
      <c r="D236" s="30">
        <f>IFERROR(__xludf.DUMMYFUNCTION("""COMPUTED_VALUE"""),394.33)</f>
        <v>394.33</v>
      </c>
      <c r="E236" s="30">
        <f>IFERROR(__xludf.DUMMYFUNCTION("""COMPUTED_VALUE"""),386.23)</f>
        <v>386.23</v>
      </c>
      <c r="F236" s="30">
        <f>IFERROR(__xludf.DUMMYFUNCTION("""COMPUTED_VALUE"""),386.77)</f>
        <v>386.77</v>
      </c>
      <c r="G236" s="31">
        <f>IFERROR(__xludf.DUMMYFUNCTION("""COMPUTED_VALUE"""),1.6314947E7)</f>
        <v>16314947</v>
      </c>
      <c r="H236" s="10"/>
    </row>
    <row r="237" ht="17.25" customHeight="1">
      <c r="A237" s="10"/>
      <c r="B237" s="29">
        <f>IFERROR(__xludf.DUMMYFUNCTION("""COMPUTED_VALUE"""),46154.66666666667)</f>
        <v>46154.66667</v>
      </c>
      <c r="C237" s="30">
        <f>IFERROR(__xludf.DUMMYFUNCTION("""COMPUTED_VALUE"""),385.0)</f>
        <v>385</v>
      </c>
      <c r="D237" s="30">
        <f>IFERROR(__xludf.DUMMYFUNCTION("""COMPUTED_VALUE"""),386.44)</f>
        <v>386.44</v>
      </c>
      <c r="E237" s="30">
        <f>IFERROR(__xludf.DUMMYFUNCTION("""COMPUTED_VALUE"""),379.72)</f>
        <v>379.72</v>
      </c>
      <c r="F237" s="30">
        <f>IFERROR(__xludf.DUMMYFUNCTION("""COMPUTED_VALUE"""),383.82)</f>
        <v>383.82</v>
      </c>
      <c r="G237" s="31">
        <f>IFERROR(__xludf.DUMMYFUNCTION("""COMPUTED_VALUE"""),1.7103932E7)</f>
        <v>17103932</v>
      </c>
      <c r="H237" s="10"/>
    </row>
    <row r="238" ht="17.25" customHeight="1">
      <c r="A238" s="10"/>
      <c r="B238" s="29">
        <f>IFERROR(__xludf.DUMMYFUNCTION("""COMPUTED_VALUE"""),46155.66666666667)</f>
        <v>46155.66667</v>
      </c>
      <c r="C238" s="30">
        <f>IFERROR(__xludf.DUMMYFUNCTION("""COMPUTED_VALUE"""),381.91)</f>
        <v>381.91</v>
      </c>
      <c r="D238" s="30">
        <f>IFERROR(__xludf.DUMMYFUNCTION("""COMPUTED_VALUE"""),399.93)</f>
        <v>399.93</v>
      </c>
      <c r="E238" s="30">
        <f>IFERROR(__xludf.DUMMYFUNCTION("""COMPUTED_VALUE"""),381.58)</f>
        <v>381.58</v>
      </c>
      <c r="F238" s="30">
        <f>IFERROR(__xludf.DUMMYFUNCTION("""COMPUTED_VALUE"""),399.04)</f>
        <v>399.04</v>
      </c>
      <c r="G238" s="31">
        <f>IFERROR(__xludf.DUMMYFUNCTION("""COMPUTED_VALUE"""),1.8160118E7)</f>
        <v>18160118</v>
      </c>
      <c r="H238" s="10"/>
    </row>
    <row r="239" ht="17.25" customHeight="1">
      <c r="A239" s="10"/>
      <c r="B239" s="29">
        <f>IFERROR(__xludf.DUMMYFUNCTION("""COMPUTED_VALUE"""),46156.66666666667)</f>
        <v>46156.66667</v>
      </c>
      <c r="C239" s="30">
        <f>IFERROR(__xludf.DUMMYFUNCTION("""COMPUTED_VALUE"""),393.79)</f>
        <v>393.79</v>
      </c>
      <c r="D239" s="30">
        <f>IFERROR(__xludf.DUMMYFUNCTION("""COMPUTED_VALUE"""),399.1)</f>
        <v>399.1</v>
      </c>
      <c r="E239" s="30">
        <f>IFERROR(__xludf.DUMMYFUNCTION("""COMPUTED_VALUE"""),392.73)</f>
        <v>392.73</v>
      </c>
      <c r="F239" s="30">
        <f>IFERROR(__xludf.DUMMYFUNCTION("""COMPUTED_VALUE"""),397.17)</f>
        <v>397.17</v>
      </c>
      <c r="G239" s="31">
        <f>IFERROR(__xludf.DUMMYFUNCTION("""COMPUTED_VALUE"""),1.3805371E7)</f>
        <v>13805371</v>
      </c>
      <c r="H239" s="10"/>
    </row>
    <row r="240" ht="17.25" customHeight="1">
      <c r="A240" s="10"/>
      <c r="B240" s="29">
        <f>IFERROR(__xludf.DUMMYFUNCTION("""COMPUTED_VALUE"""),46157.66666666667)</f>
        <v>46157.66667</v>
      </c>
      <c r="C240" s="30">
        <f>IFERROR(__xludf.DUMMYFUNCTION("""COMPUTED_VALUE"""),393.22)</f>
        <v>393.22</v>
      </c>
      <c r="D240" s="30">
        <f>IFERROR(__xludf.DUMMYFUNCTION("""COMPUTED_VALUE"""),395.88)</f>
        <v>395.88</v>
      </c>
      <c r="E240" s="30">
        <f>IFERROR(__xludf.DUMMYFUNCTION("""COMPUTED_VALUE"""),389.76)</f>
        <v>389.76</v>
      </c>
      <c r="F240" s="30">
        <f>IFERROR(__xludf.DUMMYFUNCTION("""COMPUTED_VALUE"""),393.32)</f>
        <v>393.32</v>
      </c>
      <c r="G240" s="31">
        <f>IFERROR(__xludf.DUMMYFUNCTION("""COMPUTED_VALUE"""),1.5801943E7)</f>
        <v>15801943</v>
      </c>
      <c r="H240" s="10"/>
    </row>
    <row r="241" ht="17.25" customHeight="1">
      <c r="A241" s="10"/>
      <c r="B241" s="29">
        <f>IFERROR(__xludf.DUMMYFUNCTION("""COMPUTED_VALUE"""),46160.66666666667)</f>
        <v>46160.66667</v>
      </c>
      <c r="C241" s="30">
        <f>IFERROR(__xludf.DUMMYFUNCTION("""COMPUTED_VALUE"""),392.13)</f>
        <v>392.13</v>
      </c>
      <c r="D241" s="30">
        <f>IFERROR(__xludf.DUMMYFUNCTION("""COMPUTED_VALUE"""),404.47)</f>
        <v>404.47</v>
      </c>
      <c r="E241" s="30">
        <f>IFERROR(__xludf.DUMMYFUNCTION("""COMPUTED_VALUE"""),390.9)</f>
        <v>390.9</v>
      </c>
      <c r="F241" s="30">
        <f>IFERROR(__xludf.DUMMYFUNCTION("""COMPUTED_VALUE"""),393.11)</f>
        <v>393.11</v>
      </c>
      <c r="G241" s="31">
        <f>IFERROR(__xludf.DUMMYFUNCTION("""COMPUTED_VALUE"""),1.8592787E7)</f>
        <v>18592787</v>
      </c>
      <c r="H241" s="10"/>
    </row>
    <row r="242" ht="17.25" customHeight="1">
      <c r="A242" s="10"/>
      <c r="B242" s="29">
        <f>IFERROR(__xludf.DUMMYFUNCTION("""COMPUTED_VALUE"""),46161.66666666667)</f>
        <v>46161.66667</v>
      </c>
      <c r="C242" s="30">
        <f>IFERROR(__xludf.DUMMYFUNCTION("""COMPUTED_VALUE"""),393.3)</f>
        <v>393.3</v>
      </c>
      <c r="D242" s="30">
        <f>IFERROR(__xludf.DUMMYFUNCTION("""COMPUTED_VALUE"""),393.36)</f>
        <v>393.36</v>
      </c>
      <c r="E242" s="30">
        <f>IFERROR(__xludf.DUMMYFUNCTION("""COMPUTED_VALUE"""),383.0)</f>
        <v>383</v>
      </c>
      <c r="F242" s="30">
        <f>IFERROR(__xludf.DUMMYFUNCTION("""COMPUTED_VALUE"""),384.9)</f>
        <v>384.9</v>
      </c>
      <c r="G242" s="31">
        <f>IFERROR(__xludf.DUMMYFUNCTION("""COMPUTED_VALUE"""),2.5559383E7)</f>
        <v>25559383</v>
      </c>
      <c r="H242" s="10"/>
    </row>
    <row r="243" ht="17.25" customHeight="1">
      <c r="A243" s="10"/>
      <c r="B243" s="29">
        <f>IFERROR(__xludf.DUMMYFUNCTION("""COMPUTED_VALUE"""),46162.66666666667)</f>
        <v>46162.66667</v>
      </c>
      <c r="C243" s="30">
        <f>IFERROR(__xludf.DUMMYFUNCTION("""COMPUTED_VALUE"""),385.04)</f>
        <v>385.04</v>
      </c>
      <c r="D243" s="30">
        <f>IFERROR(__xludf.DUMMYFUNCTION("""COMPUTED_VALUE"""),390.7)</f>
        <v>390.7</v>
      </c>
      <c r="E243" s="30">
        <f>IFERROR(__xludf.DUMMYFUNCTION("""COMPUTED_VALUE"""),380.0)</f>
        <v>380</v>
      </c>
      <c r="F243" s="30">
        <f>IFERROR(__xludf.DUMMYFUNCTION("""COMPUTED_VALUE"""),384.9)</f>
        <v>384.9</v>
      </c>
      <c r="G243" s="31">
        <f>IFERROR(__xludf.DUMMYFUNCTION("""COMPUTED_VALUE"""),1.6488132E7)</f>
        <v>16488132</v>
      </c>
      <c r="H243" s="10"/>
    </row>
    <row r="244" ht="17.25" customHeight="1">
      <c r="A244" s="10"/>
      <c r="B244" s="29">
        <f>IFERROR(__xludf.DUMMYFUNCTION("""COMPUTED_VALUE"""),46163.66666666667)</f>
        <v>46163.66667</v>
      </c>
      <c r="C244" s="30">
        <f>IFERROR(__xludf.DUMMYFUNCTION("""COMPUTED_VALUE"""),382.01)</f>
        <v>382.01</v>
      </c>
      <c r="D244" s="30">
        <f>IFERROR(__xludf.DUMMYFUNCTION("""COMPUTED_VALUE"""),388.68)</f>
        <v>388.68</v>
      </c>
      <c r="E244" s="30">
        <f>IFERROR(__xludf.DUMMYFUNCTION("""COMPUTED_VALUE"""),379.48)</f>
        <v>379.48</v>
      </c>
      <c r="F244" s="30">
        <f>IFERROR(__xludf.DUMMYFUNCTION("""COMPUTED_VALUE"""),383.47)</f>
        <v>383.47</v>
      </c>
      <c r="G244" s="31">
        <f>IFERROR(__xludf.DUMMYFUNCTION("""COMPUTED_VALUE"""),1.6837601E7)</f>
        <v>16837601</v>
      </c>
      <c r="H244" s="10"/>
    </row>
    <row r="245" ht="17.25" customHeight="1">
      <c r="A245" s="10"/>
      <c r="B245" s="29">
        <f>IFERROR(__xludf.DUMMYFUNCTION("""COMPUTED_VALUE"""),46164.66666666667)</f>
        <v>46164.66667</v>
      </c>
      <c r="C245" s="30">
        <f>IFERROR(__xludf.DUMMYFUNCTION("""COMPUTED_VALUE"""),383.26)</f>
        <v>383.26</v>
      </c>
      <c r="D245" s="30">
        <f>IFERROR(__xludf.DUMMYFUNCTION("""COMPUTED_VALUE"""),384.87)</f>
        <v>384.87</v>
      </c>
      <c r="E245" s="30">
        <f>IFERROR(__xludf.DUMMYFUNCTION("""COMPUTED_VALUE"""),378.26)</f>
        <v>378.26</v>
      </c>
      <c r="F245" s="30">
        <f>IFERROR(__xludf.DUMMYFUNCTION("""COMPUTED_VALUE"""),379.38)</f>
        <v>379.38</v>
      </c>
      <c r="G245" s="31">
        <f>IFERROR(__xludf.DUMMYFUNCTION("""COMPUTED_VALUE"""),1.3382787E7)</f>
        <v>13382787</v>
      </c>
      <c r="H245" s="10"/>
    </row>
    <row r="246" ht="17.25" customHeight="1">
      <c r="A246" s="10"/>
      <c r="B246" s="29">
        <f>IFERROR(__xludf.DUMMYFUNCTION("""COMPUTED_VALUE"""),46168.66666666667)</f>
        <v>46168.66667</v>
      </c>
      <c r="C246" s="30">
        <f>IFERROR(__xludf.DUMMYFUNCTION("""COMPUTED_VALUE"""),381.0)</f>
        <v>381</v>
      </c>
      <c r="D246" s="30">
        <f>IFERROR(__xludf.DUMMYFUNCTION("""COMPUTED_VALUE"""),385.39)</f>
        <v>385.39</v>
      </c>
      <c r="E246" s="30">
        <f>IFERROR(__xludf.DUMMYFUNCTION("""COMPUTED_VALUE"""),379.14)</f>
        <v>379.14</v>
      </c>
      <c r="F246" s="30">
        <f>IFERROR(__xludf.DUMMYFUNCTION("""COMPUTED_VALUE"""),384.84)</f>
        <v>384.84</v>
      </c>
      <c r="G246" s="31">
        <f>IFERROR(__xludf.DUMMYFUNCTION("""COMPUTED_VALUE"""),1.6150934E7)</f>
        <v>16150934</v>
      </c>
      <c r="H246" s="10"/>
    </row>
    <row r="247" ht="17.25" customHeight="1">
      <c r="A247" s="10"/>
      <c r="B247" s="29">
        <f>IFERROR(__xludf.DUMMYFUNCTION("""COMPUTED_VALUE"""),46169.66666666667)</f>
        <v>46169.66667</v>
      </c>
      <c r="C247" s="30">
        <f>IFERROR(__xludf.DUMMYFUNCTION("""COMPUTED_VALUE"""),382.77)</f>
        <v>382.77</v>
      </c>
      <c r="D247" s="30">
        <f>IFERROR(__xludf.DUMMYFUNCTION("""COMPUTED_VALUE"""),389.73)</f>
        <v>389.73</v>
      </c>
      <c r="E247" s="30">
        <f>IFERROR(__xludf.DUMMYFUNCTION("""COMPUTED_VALUE"""),382.0)</f>
        <v>382</v>
      </c>
      <c r="F247" s="30">
        <f>IFERROR(__xludf.DUMMYFUNCTION("""COMPUTED_VALUE"""),384.83)</f>
        <v>384.83</v>
      </c>
      <c r="G247" s="31">
        <f>IFERROR(__xludf.DUMMYFUNCTION("""COMPUTED_VALUE"""),1.6893149E7)</f>
        <v>16893149</v>
      </c>
      <c r="H247" s="10"/>
    </row>
    <row r="248" ht="17.25" customHeight="1">
      <c r="A248" s="10"/>
      <c r="B248" s="29">
        <f>IFERROR(__xludf.DUMMYFUNCTION("""COMPUTED_VALUE"""),46170.66666666667)</f>
        <v>46170.66667</v>
      </c>
      <c r="C248" s="30">
        <f>IFERROR(__xludf.DUMMYFUNCTION("""COMPUTED_VALUE"""),383.86)</f>
        <v>383.86</v>
      </c>
      <c r="D248" s="30">
        <f>IFERROR(__xludf.DUMMYFUNCTION("""COMPUTED_VALUE"""),390.0)</f>
        <v>390</v>
      </c>
      <c r="E248" s="30">
        <f>IFERROR(__xludf.DUMMYFUNCTION("""COMPUTED_VALUE"""),381.25)</f>
        <v>381.25</v>
      </c>
      <c r="F248" s="30">
        <f>IFERROR(__xludf.DUMMYFUNCTION("""COMPUTED_VALUE"""),386.12)</f>
        <v>386.12</v>
      </c>
      <c r="G248" s="31">
        <f>IFERROR(__xludf.DUMMYFUNCTION("""COMPUTED_VALUE"""),2.0795414E7)</f>
        <v>20795414</v>
      </c>
      <c r="H248" s="10"/>
    </row>
    <row r="249" ht="17.25" customHeight="1">
      <c r="A249" s="10"/>
      <c r="B249" s="29">
        <f>IFERROR(__xludf.DUMMYFUNCTION("""COMPUTED_VALUE"""),46171.66666666667)</f>
        <v>46171.66667</v>
      </c>
      <c r="C249" s="30">
        <f>IFERROR(__xludf.DUMMYFUNCTION("""COMPUTED_VALUE"""),381.23)</f>
        <v>381.23</v>
      </c>
      <c r="D249" s="30">
        <f>IFERROR(__xludf.DUMMYFUNCTION("""COMPUTED_VALUE"""),381.65)</f>
        <v>381.65</v>
      </c>
      <c r="E249" s="30">
        <f>IFERROR(__xludf.DUMMYFUNCTION("""COMPUTED_VALUE"""),374.3)</f>
        <v>374.3</v>
      </c>
      <c r="F249" s="30">
        <f>IFERROR(__xludf.DUMMYFUNCTION("""COMPUTED_VALUE"""),376.43)</f>
        <v>376.43</v>
      </c>
      <c r="G249" s="31">
        <f>IFERROR(__xludf.DUMMYFUNCTION("""COMPUTED_VALUE"""),4.8018563E7)</f>
        <v>48018563</v>
      </c>
      <c r="H249" s="10"/>
    </row>
    <row r="250" ht="17.25" customHeight="1">
      <c r="A250" s="10"/>
      <c r="B250" s="29">
        <f>IFERROR(__xludf.DUMMYFUNCTION("""COMPUTED_VALUE"""),46174.66666666667)</f>
        <v>46174.66667</v>
      </c>
      <c r="C250" s="30">
        <f>IFERROR(__xludf.DUMMYFUNCTION("""COMPUTED_VALUE"""),372.58)</f>
        <v>372.58</v>
      </c>
      <c r="D250" s="30">
        <f>IFERROR(__xludf.DUMMYFUNCTION("""COMPUTED_VALUE"""),374.6)</f>
        <v>374.6</v>
      </c>
      <c r="E250" s="30">
        <f>IFERROR(__xludf.DUMMYFUNCTION("""COMPUTED_VALUE"""),369.71)</f>
        <v>369.71</v>
      </c>
      <c r="F250" s="30">
        <f>IFERROR(__xludf.DUMMYFUNCTION("""COMPUTED_VALUE"""),372.58)</f>
        <v>372.58</v>
      </c>
      <c r="G250" s="31">
        <f>IFERROR(__xludf.DUMMYFUNCTION("""COMPUTED_VALUE"""),1.9091887E7)</f>
        <v>19091887</v>
      </c>
      <c r="H250" s="10"/>
    </row>
    <row r="251" ht="17.25" customHeight="1">
      <c r="A251" s="10"/>
      <c r="B251" s="29">
        <f>IFERROR(__xludf.DUMMYFUNCTION("""COMPUTED_VALUE"""),46175.66666666667)</f>
        <v>46175.66667</v>
      </c>
      <c r="C251" s="30">
        <f>IFERROR(__xludf.DUMMYFUNCTION("""COMPUTED_VALUE"""),363.16)</f>
        <v>363.16</v>
      </c>
      <c r="D251" s="30">
        <f>IFERROR(__xludf.DUMMYFUNCTION("""COMPUTED_VALUE"""),369.79)</f>
        <v>369.79</v>
      </c>
      <c r="E251" s="30">
        <f>IFERROR(__xludf.DUMMYFUNCTION("""COMPUTED_VALUE"""),355.0)</f>
        <v>355</v>
      </c>
      <c r="F251" s="30">
        <f>IFERROR(__xludf.DUMMYFUNCTION("""COMPUTED_VALUE"""),358.39)</f>
        <v>358.39</v>
      </c>
      <c r="G251" s="31">
        <f>IFERROR(__xludf.DUMMYFUNCTION("""COMPUTED_VALUE"""),3.4648622E7)</f>
        <v>34648622</v>
      </c>
      <c r="H251" s="10"/>
    </row>
    <row r="252" ht="17.25" customHeight="1">
      <c r="A252" s="10"/>
      <c r="B252" s="29">
        <f>IFERROR(__xludf.DUMMYFUNCTION("""COMPUTED_VALUE"""),46176.66666666667)</f>
        <v>46176.66667</v>
      </c>
      <c r="C252" s="30">
        <f>IFERROR(__xludf.DUMMYFUNCTION("""COMPUTED_VALUE"""),358.34)</f>
        <v>358.34</v>
      </c>
      <c r="D252" s="30">
        <f>IFERROR(__xludf.DUMMYFUNCTION("""COMPUTED_VALUE"""),362.5)</f>
        <v>362.5</v>
      </c>
      <c r="E252" s="30">
        <f>IFERROR(__xludf.DUMMYFUNCTION("""COMPUTED_VALUE"""),354.38)</f>
        <v>354.38</v>
      </c>
      <c r="F252" s="30">
        <f>IFERROR(__xludf.DUMMYFUNCTION("""COMPUTED_VALUE"""),355.68)</f>
        <v>355.68</v>
      </c>
      <c r="G252" s="31">
        <f>IFERROR(__xludf.DUMMYFUNCTION("""COMPUTED_VALUE"""),4.3031002E7)</f>
        <v>43031002</v>
      </c>
      <c r="H252" s="10"/>
    </row>
    <row r="253" ht="17.25" customHeight="1">
      <c r="A253" s="10"/>
      <c r="B253" s="29">
        <f>IFERROR(__xludf.DUMMYFUNCTION("""COMPUTED_VALUE"""),46177.66666666667)</f>
        <v>46177.66667</v>
      </c>
      <c r="C253" s="30">
        <f>IFERROR(__xludf.DUMMYFUNCTION("""COMPUTED_VALUE"""),355.44)</f>
        <v>355.44</v>
      </c>
      <c r="D253" s="30">
        <f>IFERROR(__xludf.DUMMYFUNCTION("""COMPUTED_VALUE"""),369.86)</f>
        <v>369.86</v>
      </c>
      <c r="E253" s="30">
        <f>IFERROR(__xludf.DUMMYFUNCTION("""COMPUTED_VALUE"""),354.8)</f>
        <v>354.8</v>
      </c>
      <c r="F253" s="30">
        <f>IFERROR(__xludf.DUMMYFUNCTION("""COMPUTED_VALUE"""),369.27)</f>
        <v>369.27</v>
      </c>
      <c r="G253" s="31">
        <f>IFERROR(__xludf.DUMMYFUNCTION("""COMPUTED_VALUE"""),3.7746167E7)</f>
        <v>37746167</v>
      </c>
      <c r="H253" s="10"/>
    </row>
    <row r="254" ht="17.25" customHeight="1">
      <c r="A254" s="10"/>
      <c r="B254" s="29">
        <f>IFERROR(__xludf.DUMMYFUNCTION("""COMPUTED_VALUE"""),46178.66666666667)</f>
        <v>46178.66667</v>
      </c>
      <c r="C254" s="30">
        <f>IFERROR(__xludf.DUMMYFUNCTION("""COMPUTED_VALUE"""),363.38)</f>
        <v>363.38</v>
      </c>
      <c r="D254" s="30">
        <f>IFERROR(__xludf.DUMMYFUNCTION("""COMPUTED_VALUE"""),369.2)</f>
        <v>369.2</v>
      </c>
      <c r="E254" s="30">
        <f>IFERROR(__xludf.DUMMYFUNCTION("""COMPUTED_VALUE"""),361.63)</f>
        <v>361.63</v>
      </c>
      <c r="F254" s="30">
        <f>IFERROR(__xludf.DUMMYFUNCTION("""COMPUTED_VALUE"""),365.76)</f>
        <v>365.76</v>
      </c>
      <c r="G254" s="31">
        <f>IFERROR(__xludf.DUMMYFUNCTION("""COMPUTED_VALUE"""),2.341152E7)</f>
        <v>23411520</v>
      </c>
      <c r="H254" s="10"/>
    </row>
    <row r="255" ht="17.25" customHeight="1">
      <c r="A255" s="10"/>
      <c r="B255" s="29">
        <f>IFERROR(__xludf.DUMMYFUNCTION("""COMPUTED_VALUE"""),46181.66666666667)</f>
        <v>46181.66667</v>
      </c>
      <c r="C255" s="30">
        <f>IFERROR(__xludf.DUMMYFUNCTION("""COMPUTED_VALUE"""),362.49)</f>
        <v>362.49</v>
      </c>
      <c r="D255" s="30">
        <f>IFERROR(__xludf.DUMMYFUNCTION("""COMPUTED_VALUE"""),363.38)</f>
        <v>363.38</v>
      </c>
      <c r="E255" s="30">
        <f>IFERROR(__xludf.DUMMYFUNCTION("""COMPUTED_VALUE"""),357.89)</f>
        <v>357.89</v>
      </c>
      <c r="F255" s="30">
        <f>IFERROR(__xludf.DUMMYFUNCTION("""COMPUTED_VALUE"""),361.17)</f>
        <v>361.17</v>
      </c>
      <c r="G255" s="31">
        <f>IFERROR(__xludf.DUMMYFUNCTION("""COMPUTED_VALUE"""),1.873897E7)</f>
        <v>18738970</v>
      </c>
      <c r="H255" s="10"/>
    </row>
    <row r="256" ht="17.25" customHeight="1">
      <c r="A256" s="10"/>
      <c r="B256" s="29">
        <f>IFERROR(__xludf.DUMMYFUNCTION("""COMPUTED_VALUE"""),46182.66666666667)</f>
        <v>46182.66667</v>
      </c>
      <c r="C256" s="30">
        <f>IFERROR(__xludf.DUMMYFUNCTION("""COMPUTED_VALUE"""),364.89)</f>
        <v>364.89</v>
      </c>
      <c r="D256" s="30">
        <f>IFERROR(__xludf.DUMMYFUNCTION("""COMPUTED_VALUE"""),369.69)</f>
        <v>369.69</v>
      </c>
      <c r="E256" s="30">
        <f>IFERROR(__xludf.DUMMYFUNCTION("""COMPUTED_VALUE"""),354.72)</f>
        <v>354.72</v>
      </c>
      <c r="F256" s="30">
        <f>IFERROR(__xludf.DUMMYFUNCTION("""COMPUTED_VALUE"""),362.29)</f>
        <v>362.29</v>
      </c>
      <c r="G256" s="31">
        <f>IFERROR(__xludf.DUMMYFUNCTION("""COMPUTED_VALUE"""),1.9873595E7)</f>
        <v>19873595</v>
      </c>
      <c r="H256" s="10"/>
    </row>
    <row r="257" ht="17.25" customHeight="1">
      <c r="A257" s="10"/>
      <c r="B257" s="29">
        <f>IFERROR(__xludf.DUMMYFUNCTION("""COMPUTED_VALUE"""),46183.66666666667)</f>
        <v>46183.66667</v>
      </c>
      <c r="C257" s="30">
        <f>IFERROR(__xludf.DUMMYFUNCTION("""COMPUTED_VALUE"""),361.05)</f>
        <v>361.05</v>
      </c>
      <c r="D257" s="30">
        <f>IFERROR(__xludf.DUMMYFUNCTION("""COMPUTED_VALUE"""),366.31)</f>
        <v>366.31</v>
      </c>
      <c r="E257" s="30">
        <f>IFERROR(__xludf.DUMMYFUNCTION("""COMPUTED_VALUE"""),352.81)</f>
        <v>352.81</v>
      </c>
      <c r="F257" s="30">
        <f>IFERROR(__xludf.DUMMYFUNCTION("""COMPUTED_VALUE"""),353.32)</f>
        <v>353.32</v>
      </c>
      <c r="G257" s="31">
        <f>IFERROR(__xludf.DUMMYFUNCTION("""COMPUTED_VALUE"""),1.9878636E7)</f>
        <v>19878636</v>
      </c>
      <c r="H257" s="10"/>
    </row>
    <row r="258" ht="17.25" customHeight="1">
      <c r="A258" s="10"/>
      <c r="B258" s="29">
        <f>IFERROR(__xludf.DUMMYFUNCTION("""COMPUTED_VALUE"""),46184.66666666667)</f>
        <v>46184.66667</v>
      </c>
      <c r="C258" s="30">
        <f>IFERROR(__xludf.DUMMYFUNCTION("""COMPUTED_VALUE"""),353.05)</f>
        <v>353.05</v>
      </c>
      <c r="D258" s="30">
        <f>IFERROR(__xludf.DUMMYFUNCTION("""COMPUTED_VALUE"""),358.01)</f>
        <v>358.01</v>
      </c>
      <c r="E258" s="30">
        <f>IFERROR(__xludf.DUMMYFUNCTION("""COMPUTED_VALUE"""),343.63)</f>
        <v>343.63</v>
      </c>
      <c r="F258" s="30">
        <f>IFERROR(__xludf.DUMMYFUNCTION("""COMPUTED_VALUE"""),356.56)</f>
        <v>356.56</v>
      </c>
      <c r="G258" s="31">
        <f>IFERROR(__xludf.DUMMYFUNCTION("""COMPUTED_VALUE"""),2.8771804E7)</f>
        <v>28771804</v>
      </c>
      <c r="H258" s="10"/>
    </row>
    <row r="259" ht="17.25" customHeight="1">
      <c r="A259" s="10"/>
      <c r="B259" s="29">
        <f>IFERROR(__xludf.DUMMYFUNCTION("""COMPUTED_VALUE"""),46185.66666666667)</f>
        <v>46185.66667</v>
      </c>
      <c r="C259" s="30">
        <f>IFERROR(__xludf.DUMMYFUNCTION("""COMPUTED_VALUE"""),361.1)</f>
        <v>361.1</v>
      </c>
      <c r="D259" s="30">
        <f>IFERROR(__xludf.DUMMYFUNCTION("""COMPUTED_VALUE"""),364.77)</f>
        <v>364.77</v>
      </c>
      <c r="E259" s="30">
        <f>IFERROR(__xludf.DUMMYFUNCTION("""COMPUTED_VALUE"""),353.34)</f>
        <v>353.34</v>
      </c>
      <c r="F259" s="30">
        <f>IFERROR(__xludf.DUMMYFUNCTION("""COMPUTED_VALUE"""),358.16)</f>
        <v>358.16</v>
      </c>
      <c r="G259" s="31">
        <f>IFERROR(__xludf.DUMMYFUNCTION("""COMPUTED_VALUE"""),1.7657657E7)</f>
        <v>17657657</v>
      </c>
      <c r="H259" s="10"/>
    </row>
    <row r="260" ht="17.25" customHeight="1">
      <c r="A260" s="10"/>
      <c r="B260" s="29">
        <f>IFERROR(__xludf.DUMMYFUNCTION("""COMPUTED_VALUE"""),46188.66666666667)</f>
        <v>46188.66667</v>
      </c>
      <c r="C260" s="30">
        <f>IFERROR(__xludf.DUMMYFUNCTION("""COMPUTED_VALUE"""),365.99)</f>
        <v>365.99</v>
      </c>
      <c r="D260" s="30">
        <f>IFERROR(__xludf.DUMMYFUNCTION("""COMPUTED_VALUE"""),370.65)</f>
        <v>370.65</v>
      </c>
      <c r="E260" s="30">
        <f>IFERROR(__xludf.DUMMYFUNCTION("""COMPUTED_VALUE"""),364.65)</f>
        <v>364.65</v>
      </c>
      <c r="F260" s="30">
        <f>IFERROR(__xludf.DUMMYFUNCTION("""COMPUTED_VALUE"""),367.11)</f>
        <v>367.11</v>
      </c>
      <c r="G260" s="31">
        <f>IFERROR(__xludf.DUMMYFUNCTION("""COMPUTED_VALUE"""),1.7268649E7)</f>
        <v>17268649</v>
      </c>
      <c r="H260" s="10"/>
    </row>
    <row r="261" ht="17.25" customHeight="1">
      <c r="A261" s="10"/>
      <c r="B261" s="29">
        <f>IFERROR(__xludf.DUMMYFUNCTION("""COMPUTED_VALUE"""),46189.66666666667)</f>
        <v>46189.66667</v>
      </c>
      <c r="C261" s="30">
        <f>IFERROR(__xludf.DUMMYFUNCTION("""COMPUTED_VALUE"""),367.47)</f>
        <v>367.47</v>
      </c>
      <c r="D261" s="30">
        <f>IFERROR(__xludf.DUMMYFUNCTION("""COMPUTED_VALUE"""),373.6)</f>
        <v>373.6</v>
      </c>
      <c r="E261" s="30">
        <f>IFERROR(__xludf.DUMMYFUNCTION("""COMPUTED_VALUE"""),365.32)</f>
        <v>365.32</v>
      </c>
      <c r="F261" s="30">
        <f>IFERROR(__xludf.DUMMYFUNCTION("""COMPUTED_VALUE"""),371.1)</f>
        <v>371.1</v>
      </c>
      <c r="G261" s="31">
        <f>IFERROR(__xludf.DUMMYFUNCTION("""COMPUTED_VALUE"""),1.6492788E7)</f>
        <v>16492788</v>
      </c>
      <c r="H261" s="10"/>
    </row>
    <row r="262" ht="17.25" customHeight="1">
      <c r="A262" s="10"/>
      <c r="B262" s="29">
        <f>IFERROR(__xludf.DUMMYFUNCTION("""COMPUTED_VALUE"""),46190.66666666667)</f>
        <v>46190.66667</v>
      </c>
      <c r="C262" s="30">
        <f>IFERROR(__xludf.DUMMYFUNCTION("""COMPUTED_VALUE"""),367.05)</f>
        <v>367.05</v>
      </c>
      <c r="D262" s="30">
        <f>IFERROR(__xludf.DUMMYFUNCTION("""COMPUTED_VALUE"""),370.15)</f>
        <v>370.15</v>
      </c>
      <c r="E262" s="30">
        <f>IFERROR(__xludf.DUMMYFUNCTION("""COMPUTED_VALUE"""),360.23)</f>
        <v>360.23</v>
      </c>
      <c r="F262" s="30">
        <f>IFERROR(__xludf.DUMMYFUNCTION("""COMPUTED_VALUE"""),362.1)</f>
        <v>362.1</v>
      </c>
      <c r="G262" s="31">
        <f>IFERROR(__xludf.DUMMYFUNCTION("""COMPUTED_VALUE"""),1.6003509E7)</f>
        <v>16003509</v>
      </c>
      <c r="H262" s="10"/>
    </row>
    <row r="263" ht="17.25" customHeight="1">
      <c r="A263" s="10"/>
      <c r="B263" s="29">
        <f>IFERROR(__xludf.DUMMYFUNCTION("""COMPUTED_VALUE"""),46191.66666666667)</f>
        <v>46191.66667</v>
      </c>
      <c r="C263" s="30">
        <f>IFERROR(__xludf.DUMMYFUNCTION("""COMPUTED_VALUE"""),363.89)</f>
        <v>363.89</v>
      </c>
      <c r="D263" s="30">
        <f>IFERROR(__xludf.DUMMYFUNCTION("""COMPUTED_VALUE"""),369.0)</f>
        <v>369</v>
      </c>
      <c r="E263" s="30">
        <f>IFERROR(__xludf.DUMMYFUNCTION("""COMPUTED_VALUE"""),356.61)</f>
        <v>356.61</v>
      </c>
      <c r="F263" s="30">
        <f>IFERROR(__xludf.DUMMYFUNCTION("""COMPUTED_VALUE"""),367.46)</f>
        <v>367.46</v>
      </c>
      <c r="G263" s="31">
        <f>IFERROR(__xludf.DUMMYFUNCTION("""COMPUTED_VALUE"""),2.9339118E7)</f>
        <v>29339118</v>
      </c>
      <c r="H263" s="10"/>
    </row>
    <row r="264" ht="17.25" customHeight="1">
      <c r="A264" s="10"/>
      <c r="B264" s="29">
        <f>IFERROR(__xludf.DUMMYFUNCTION("""COMPUTED_VALUE"""),46195.66666666667)</f>
        <v>46195.66667</v>
      </c>
      <c r="C264" s="30">
        <f>IFERROR(__xludf.DUMMYFUNCTION("""COMPUTED_VALUE"""),357.14)</f>
        <v>357.14</v>
      </c>
      <c r="D264" s="30">
        <f>IFERROR(__xludf.DUMMYFUNCTION("""COMPUTED_VALUE"""),358.2)</f>
        <v>358.2</v>
      </c>
      <c r="E264" s="30">
        <f>IFERROR(__xludf.DUMMYFUNCTION("""COMPUTED_VALUE"""),340.94)</f>
        <v>340.94</v>
      </c>
      <c r="F264" s="30">
        <f>IFERROR(__xludf.DUMMYFUNCTION("""COMPUTED_VALUE"""),348.78)</f>
        <v>348.78</v>
      </c>
      <c r="G264" s="31">
        <f>IFERROR(__xludf.DUMMYFUNCTION("""COMPUTED_VALUE"""),3.2211156E7)</f>
        <v>32211156</v>
      </c>
      <c r="H264" s="10"/>
    </row>
    <row r="265" ht="17.25" customHeight="1">
      <c r="A265" s="10"/>
      <c r="B265" s="29">
        <f>IFERROR(__xludf.DUMMYFUNCTION("""COMPUTED_VALUE"""),46196.66666666667)</f>
        <v>46196.66667</v>
      </c>
      <c r="C265" s="30">
        <f>IFERROR(__xludf.DUMMYFUNCTION("""COMPUTED_VALUE"""),340.11)</f>
        <v>340.11</v>
      </c>
      <c r="D265" s="30">
        <f>IFERROR(__xludf.DUMMYFUNCTION("""COMPUTED_VALUE"""),348.72)</f>
        <v>348.72</v>
      </c>
      <c r="E265" s="30">
        <f>IFERROR(__xludf.DUMMYFUNCTION("""COMPUTED_VALUE"""),339.72)</f>
        <v>339.72</v>
      </c>
      <c r="F265" s="30">
        <f>IFERROR(__xludf.DUMMYFUNCTION("""COMPUTED_VALUE"""),346.08)</f>
        <v>346.08</v>
      </c>
      <c r="G265" s="31">
        <f>IFERROR(__xludf.DUMMYFUNCTION("""COMPUTED_VALUE"""),2.1820944E7)</f>
        <v>21820944</v>
      </c>
      <c r="H265" s="10"/>
    </row>
    <row r="266" ht="17.25" customHeight="1">
      <c r="A266" s="10"/>
      <c r="B266" s="29">
        <f>IFERROR(__xludf.DUMMYFUNCTION("""COMPUTED_VALUE"""),46197.66666666667)</f>
        <v>46197.66667</v>
      </c>
      <c r="C266" s="30">
        <f>IFERROR(__xludf.DUMMYFUNCTION("""COMPUTED_VALUE"""),348.72)</f>
        <v>348.72</v>
      </c>
      <c r="D266" s="30">
        <f>IFERROR(__xludf.DUMMYFUNCTION("""COMPUTED_VALUE"""),352.83)</f>
        <v>352.83</v>
      </c>
      <c r="E266" s="30">
        <f>IFERROR(__xludf.DUMMYFUNCTION("""COMPUTED_VALUE"""),341.5)</f>
        <v>341.5</v>
      </c>
      <c r="F266" s="30">
        <f>IFERROR(__xludf.DUMMYFUNCTION("""COMPUTED_VALUE"""),345.04)</f>
        <v>345.04</v>
      </c>
      <c r="G266" s="31">
        <f>IFERROR(__xludf.DUMMYFUNCTION("""COMPUTED_VALUE"""),2.3898377E7)</f>
        <v>23898377</v>
      </c>
      <c r="H266" s="10"/>
    </row>
    <row r="267" ht="17.25" customHeight="1">
      <c r="A267" s="10"/>
      <c r="B267" s="29">
        <f>IFERROR(__xludf.DUMMYFUNCTION("""COMPUTED_VALUE"""),46198.66666666667)</f>
        <v>46198.66667</v>
      </c>
      <c r="C267" s="30">
        <f>IFERROR(__xludf.DUMMYFUNCTION("""COMPUTED_VALUE"""),336.92)</f>
        <v>336.92</v>
      </c>
      <c r="D267" s="30">
        <f>IFERROR(__xludf.DUMMYFUNCTION("""COMPUTED_VALUE"""),343.19)</f>
        <v>343.19</v>
      </c>
      <c r="E267" s="30">
        <f>IFERROR(__xludf.DUMMYFUNCTION("""COMPUTED_VALUE"""),335.9)</f>
        <v>335.9</v>
      </c>
      <c r="F267" s="30">
        <f>IFERROR(__xludf.DUMMYFUNCTION("""COMPUTED_VALUE"""),342.19)</f>
        <v>342.19</v>
      </c>
      <c r="G267" s="31">
        <f>IFERROR(__xludf.DUMMYFUNCTION("""COMPUTED_VALUE"""),2.7687555E7)</f>
        <v>27687555</v>
      </c>
      <c r="H267" s="10"/>
    </row>
    <row r="268" ht="17.25" customHeight="1">
      <c r="A268" s="10"/>
      <c r="B268" s="29">
        <f>IFERROR(__xludf.DUMMYFUNCTION("""COMPUTED_VALUE"""),46199.66666666667)</f>
        <v>46199.66667</v>
      </c>
      <c r="C268" s="30">
        <f>IFERROR(__xludf.DUMMYFUNCTION("""COMPUTED_VALUE"""),340.98)</f>
        <v>340.98</v>
      </c>
      <c r="D268" s="30">
        <f>IFERROR(__xludf.DUMMYFUNCTION("""COMPUTED_VALUE"""),344.12)</f>
        <v>344.12</v>
      </c>
      <c r="E268" s="30">
        <f>IFERROR(__xludf.DUMMYFUNCTION("""COMPUTED_VALUE"""),333.69)</f>
        <v>333.69</v>
      </c>
      <c r="F268" s="30">
        <f>IFERROR(__xludf.DUMMYFUNCTION("""COMPUTED_VALUE"""),334.69)</f>
        <v>334.69</v>
      </c>
      <c r="G268" s="31">
        <f>IFERROR(__xludf.DUMMYFUNCTION("""COMPUTED_VALUE"""),8.2484583E7)</f>
        <v>82484583</v>
      </c>
      <c r="H268" s="10"/>
    </row>
    <row r="269" ht="17.25" customHeight="1">
      <c r="A269" s="10"/>
      <c r="B269" s="29">
        <f>IFERROR(__xludf.DUMMYFUNCTION("""COMPUTED_VALUE"""),46202.66666666667)</f>
        <v>46202.66667</v>
      </c>
      <c r="C269" s="30">
        <f>IFERROR(__xludf.DUMMYFUNCTION("""COMPUTED_VALUE"""),339.95)</f>
        <v>339.95</v>
      </c>
      <c r="D269" s="30">
        <f>IFERROR(__xludf.DUMMYFUNCTION("""COMPUTED_VALUE"""),351.97)</f>
        <v>351.97</v>
      </c>
      <c r="E269" s="30">
        <f>IFERROR(__xludf.DUMMYFUNCTION("""COMPUTED_VALUE"""),338.81)</f>
        <v>338.81</v>
      </c>
      <c r="F269" s="30">
        <f>IFERROR(__xludf.DUMMYFUNCTION("""COMPUTED_VALUE"""),351.28)</f>
        <v>351.28</v>
      </c>
      <c r="G269" s="31">
        <f>IFERROR(__xludf.DUMMYFUNCTION("""COMPUTED_VALUE"""),2.5565726E7)</f>
        <v>25565726</v>
      </c>
      <c r="H269" s="10"/>
    </row>
    <row r="270" ht="17.25" customHeight="1">
      <c r="A270" s="10"/>
      <c r="B270" s="29">
        <f>IFERROR(__xludf.DUMMYFUNCTION("""COMPUTED_VALUE"""),46203.66666666667)</f>
        <v>46203.66667</v>
      </c>
      <c r="C270" s="30">
        <f>IFERROR(__xludf.DUMMYFUNCTION("""COMPUTED_VALUE"""),350.96)</f>
        <v>350.96</v>
      </c>
      <c r="D270" s="30">
        <f>IFERROR(__xludf.DUMMYFUNCTION("""COMPUTED_VALUE"""),355.39)</f>
        <v>355.39</v>
      </c>
      <c r="E270" s="30">
        <f>IFERROR(__xludf.DUMMYFUNCTION("""COMPUTED_VALUE"""),348.11)</f>
        <v>348.11</v>
      </c>
      <c r="F270" s="30">
        <f>IFERROR(__xludf.DUMMYFUNCTION("""COMPUTED_VALUE"""),353.33)</f>
        <v>353.33</v>
      </c>
      <c r="G270" s="31">
        <f>IFERROR(__xludf.DUMMYFUNCTION("""COMPUTED_VALUE"""),2.127845E7)</f>
        <v>21278450</v>
      </c>
      <c r="H270" s="10"/>
    </row>
    <row r="271" ht="17.25" customHeight="1">
      <c r="A271" s="10"/>
      <c r="B271" s="29">
        <f>IFERROR(__xludf.DUMMYFUNCTION("""COMPUTED_VALUE"""),46204.66666666667)</f>
        <v>46204.66667</v>
      </c>
      <c r="C271" s="30">
        <f>IFERROR(__xludf.DUMMYFUNCTION("""COMPUTED_VALUE"""),354.62)</f>
        <v>354.62</v>
      </c>
      <c r="D271" s="30">
        <f>IFERROR(__xludf.DUMMYFUNCTION("""COMPUTED_VALUE"""),359.56)</f>
        <v>359.56</v>
      </c>
      <c r="E271" s="30">
        <f>IFERROR(__xludf.DUMMYFUNCTION("""COMPUTED_VALUE"""),353.23)</f>
        <v>353.23</v>
      </c>
      <c r="F271" s="30">
        <f>IFERROR(__xludf.DUMMYFUNCTION("""COMPUTED_VALUE"""),357.89)</f>
        <v>357.89</v>
      </c>
      <c r="G271" s="31">
        <f>IFERROR(__xludf.DUMMYFUNCTION("""COMPUTED_VALUE"""),1.9546767E7)</f>
        <v>19546767</v>
      </c>
      <c r="H271" s="10"/>
    </row>
    <row r="272" ht="17.25" customHeight="1">
      <c r="A272" s="10"/>
      <c r="B272" s="29">
        <f>IFERROR(__xludf.DUMMYFUNCTION("""COMPUTED_VALUE"""),46205.66666666667)</f>
        <v>46205.66667</v>
      </c>
      <c r="C272" s="30">
        <f>IFERROR(__xludf.DUMMYFUNCTION("""COMPUTED_VALUE"""),356.15)</f>
        <v>356.15</v>
      </c>
      <c r="D272" s="30">
        <f>IFERROR(__xludf.DUMMYFUNCTION("""COMPUTED_VALUE"""),360.99)</f>
        <v>360.99</v>
      </c>
      <c r="E272" s="30">
        <f>IFERROR(__xludf.DUMMYFUNCTION("""COMPUTED_VALUE"""),350.32)</f>
        <v>350.32</v>
      </c>
      <c r="F272" s="30">
        <f>IFERROR(__xludf.DUMMYFUNCTION("""COMPUTED_VALUE"""),356.18)</f>
        <v>356.18</v>
      </c>
      <c r="G272" s="31">
        <f>IFERROR(__xludf.DUMMYFUNCTION("""COMPUTED_VALUE"""),1.5553222E7)</f>
        <v>15553222</v>
      </c>
      <c r="H272" s="10"/>
    </row>
    <row r="273" ht="17.25" customHeight="1">
      <c r="A273" s="10"/>
      <c r="B273" s="29">
        <f>IFERROR(__xludf.DUMMYFUNCTION("""COMPUTED_VALUE"""),46209.66666666667)</f>
        <v>46209.66667</v>
      </c>
      <c r="C273" s="30">
        <f>IFERROR(__xludf.DUMMYFUNCTION("""COMPUTED_VALUE"""),358.2)</f>
        <v>358.2</v>
      </c>
      <c r="D273" s="30">
        <f>IFERROR(__xludf.DUMMYFUNCTION("""COMPUTED_VALUE"""),365.68)</f>
        <v>365.68</v>
      </c>
      <c r="E273" s="30">
        <f>IFERROR(__xludf.DUMMYFUNCTION("""COMPUTED_VALUE"""),354.19)</f>
        <v>354.19</v>
      </c>
      <c r="F273" s="30">
        <f>IFERROR(__xludf.DUMMYFUNCTION("""COMPUTED_VALUE"""),364.9)</f>
        <v>364.9</v>
      </c>
      <c r="G273" s="31">
        <f>IFERROR(__xludf.DUMMYFUNCTION("""COMPUTED_VALUE"""),2.265268E7)</f>
        <v>22652680</v>
      </c>
      <c r="H273" s="10"/>
    </row>
    <row r="274" ht="17.25" customHeight="1">
      <c r="A274" s="10"/>
      <c r="B274" s="29">
        <f>IFERROR(__xludf.DUMMYFUNCTION("""COMPUTED_VALUE"""),46210.66666666667)</f>
        <v>46210.66667</v>
      </c>
      <c r="C274" s="30">
        <f>IFERROR(__xludf.DUMMYFUNCTION("""COMPUTED_VALUE"""),367.24)</f>
        <v>367.24</v>
      </c>
      <c r="D274" s="30">
        <f>IFERROR(__xludf.DUMMYFUNCTION("""COMPUTED_VALUE"""),370.89)</f>
        <v>370.89</v>
      </c>
      <c r="E274" s="30">
        <f>IFERROR(__xludf.DUMMYFUNCTION("""COMPUTED_VALUE"""),362.42)</f>
        <v>362.42</v>
      </c>
      <c r="F274" s="30">
        <f>IFERROR(__xludf.DUMMYFUNCTION("""COMPUTED_VALUE"""),363.62)</f>
        <v>363.62</v>
      </c>
      <c r="G274" s="31">
        <f>IFERROR(__xludf.DUMMYFUNCTION("""COMPUTED_VALUE"""),1.6443932E7)</f>
        <v>16443932</v>
      </c>
      <c r="H274" s="10"/>
    </row>
    <row r="275" ht="17.25" customHeight="1">
      <c r="A275" s="10"/>
      <c r="B275" s="29">
        <f>IFERROR(__xludf.DUMMYFUNCTION("""COMPUTED_VALUE"""),46211.66666666667)</f>
        <v>46211.66667</v>
      </c>
      <c r="C275" s="30">
        <f>IFERROR(__xludf.DUMMYFUNCTION("""COMPUTED_VALUE"""),362.21)</f>
        <v>362.21</v>
      </c>
      <c r="D275" s="30">
        <f>IFERROR(__xludf.DUMMYFUNCTION("""COMPUTED_VALUE"""),364.98)</f>
        <v>364.98</v>
      </c>
      <c r="E275" s="30">
        <f>IFERROR(__xludf.DUMMYFUNCTION("""COMPUTED_VALUE"""),354.7)</f>
        <v>354.7</v>
      </c>
      <c r="F275" s="30">
        <f>IFERROR(__xludf.DUMMYFUNCTION("""COMPUTED_VALUE"""),358.71)</f>
        <v>358.71</v>
      </c>
      <c r="G275" s="31">
        <f>IFERROR(__xludf.DUMMYFUNCTION("""COMPUTED_VALUE"""),1.4710424E7)</f>
        <v>14710424</v>
      </c>
      <c r="H275" s="10"/>
    </row>
    <row r="276" ht="17.25" customHeight="1">
      <c r="A276" s="10"/>
      <c r="B276" s="29">
        <f>IFERROR(__xludf.DUMMYFUNCTION("""COMPUTED_VALUE"""),46212.66666666667)</f>
        <v>46212.66667</v>
      </c>
      <c r="C276" s="30">
        <f>IFERROR(__xludf.DUMMYFUNCTION("""COMPUTED_VALUE"""),351.09)</f>
        <v>351.09</v>
      </c>
      <c r="D276" s="30">
        <f>IFERROR(__xludf.DUMMYFUNCTION("""COMPUTED_VALUE"""),356.73)</f>
        <v>356.73</v>
      </c>
      <c r="E276" s="30">
        <f>IFERROR(__xludf.DUMMYFUNCTION("""COMPUTED_VALUE"""),348.66)</f>
        <v>348.66</v>
      </c>
      <c r="F276" s="30">
        <f>IFERROR(__xludf.DUMMYFUNCTION("""COMPUTED_VALUE"""),356.24)</f>
        <v>356.24</v>
      </c>
      <c r="G276" s="31">
        <f>IFERROR(__xludf.DUMMYFUNCTION("""COMPUTED_VALUE"""),1.7217449E7)</f>
        <v>17217449</v>
      </c>
      <c r="H276" s="10"/>
    </row>
    <row r="277" ht="17.25" customHeight="1">
      <c r="A277" s="10"/>
      <c r="B277" s="29">
        <f>IFERROR(__xludf.DUMMYFUNCTION("""COMPUTED_VALUE"""),46213.66666666667)</f>
        <v>46213.66667</v>
      </c>
      <c r="C277" s="30">
        <f>IFERROR(__xludf.DUMMYFUNCTION("""COMPUTED_VALUE"""),354.95)</f>
        <v>354.95</v>
      </c>
      <c r="D277" s="30">
        <f>IFERROR(__xludf.DUMMYFUNCTION("""COMPUTED_VALUE"""),355.68)</f>
        <v>355.68</v>
      </c>
      <c r="E277" s="30">
        <f>IFERROR(__xludf.DUMMYFUNCTION("""COMPUTED_VALUE"""),350.7)</f>
        <v>350.7</v>
      </c>
      <c r="F277" s="30">
        <f>IFERROR(__xludf.DUMMYFUNCTION("""COMPUTED_VALUE"""),355.03)</f>
        <v>355.03</v>
      </c>
      <c r="G277" s="31">
        <f>IFERROR(__xludf.DUMMYFUNCTION("""COMPUTED_VALUE"""),1.1618452E7)</f>
        <v>11618452</v>
      </c>
      <c r="H277" s="10"/>
    </row>
    <row r="278" ht="17.25" customHeight="1">
      <c r="A278" s="10"/>
      <c r="B278" s="29">
        <f>IFERROR(__xludf.DUMMYFUNCTION("""COMPUTED_VALUE"""),46216.66666666667)</f>
        <v>46216.66667</v>
      </c>
      <c r="C278" s="30">
        <f>IFERROR(__xludf.DUMMYFUNCTION("""COMPUTED_VALUE"""),353.99)</f>
        <v>353.99</v>
      </c>
      <c r="D278" s="30">
        <f>IFERROR(__xludf.DUMMYFUNCTION("""COMPUTED_VALUE"""),355.75)</f>
        <v>355.75</v>
      </c>
      <c r="E278" s="30">
        <f>IFERROR(__xludf.DUMMYFUNCTION("""COMPUTED_VALUE"""),349.82)</f>
        <v>349.82</v>
      </c>
      <c r="F278" s="30">
        <f>IFERROR(__xludf.DUMMYFUNCTION("""COMPUTED_VALUE"""),350.67)</f>
        <v>350.67</v>
      </c>
      <c r="G278" s="31">
        <f>IFERROR(__xludf.DUMMYFUNCTION("""COMPUTED_VALUE"""),1.0583514E7)</f>
        <v>10583514</v>
      </c>
      <c r="H278" s="10"/>
    </row>
    <row r="279" ht="17.25" customHeight="1">
      <c r="A279" s="10"/>
      <c r="B279" s="29"/>
      <c r="C279" s="30"/>
      <c r="D279" s="30"/>
      <c r="E279" s="30"/>
      <c r="F279" s="30"/>
      <c r="G279" s="31"/>
      <c r="H279" s="10"/>
    </row>
    <row r="280" ht="17.25" customHeight="1">
      <c r="A280" s="10"/>
      <c r="B280" s="29"/>
      <c r="C280" s="30"/>
      <c r="D280" s="30"/>
      <c r="E280" s="30"/>
      <c r="F280" s="30"/>
      <c r="G280" s="31"/>
      <c r="H280" s="10"/>
    </row>
    <row r="281" ht="17.25" customHeight="1">
      <c r="A281" s="10"/>
      <c r="B281" s="29"/>
      <c r="C281" s="30"/>
      <c r="D281" s="30"/>
      <c r="E281" s="30"/>
      <c r="F281" s="30"/>
      <c r="G281" s="31"/>
      <c r="H281" s="10"/>
    </row>
    <row r="282" ht="17.25" customHeight="1">
      <c r="A282" s="10"/>
      <c r="B282" s="29"/>
      <c r="C282" s="30"/>
      <c r="D282" s="30"/>
      <c r="E282" s="30"/>
      <c r="F282" s="30"/>
      <c r="G282" s="31"/>
      <c r="H282" s="10"/>
    </row>
    <row r="283" ht="17.25" customHeight="1">
      <c r="A283" s="10"/>
      <c r="B283" s="29"/>
      <c r="C283" s="30"/>
      <c r="D283" s="30"/>
      <c r="E283" s="30"/>
      <c r="F283" s="30"/>
      <c r="G283" s="31"/>
      <c r="H283" s="10"/>
    </row>
    <row r="284" ht="17.25" customHeight="1">
      <c r="A284" s="10"/>
      <c r="B284" s="29"/>
      <c r="C284" s="30"/>
      <c r="D284" s="30"/>
      <c r="E284" s="30"/>
      <c r="F284" s="30"/>
      <c r="G284" s="31"/>
      <c r="H284" s="10"/>
    </row>
    <row r="285" ht="17.25" customHeight="1">
      <c r="A285" s="10"/>
      <c r="B285" s="29"/>
      <c r="C285" s="30"/>
      <c r="D285" s="30"/>
      <c r="E285" s="30"/>
      <c r="F285" s="30"/>
      <c r="G285" s="31"/>
      <c r="H285" s="10"/>
    </row>
    <row r="286" ht="17.25" customHeight="1">
      <c r="A286" s="10"/>
      <c r="B286" s="29"/>
      <c r="C286" s="30"/>
      <c r="D286" s="30"/>
      <c r="E286" s="30"/>
      <c r="F286" s="30"/>
      <c r="G286" s="31"/>
      <c r="H286" s="10"/>
    </row>
    <row r="287" ht="17.25" customHeight="1">
      <c r="A287" s="10"/>
      <c r="B287" s="29"/>
      <c r="C287" s="30"/>
      <c r="D287" s="30"/>
      <c r="E287" s="30"/>
      <c r="F287" s="30"/>
      <c r="G287" s="31"/>
      <c r="H287" s="10"/>
    </row>
    <row r="288" ht="17.25" customHeight="1">
      <c r="A288" s="10"/>
      <c r="B288" s="29"/>
      <c r="C288" s="30"/>
      <c r="D288" s="30"/>
      <c r="E288" s="30"/>
      <c r="F288" s="30"/>
      <c r="G288" s="31"/>
      <c r="H288" s="10"/>
    </row>
    <row r="289" ht="17.25" customHeight="1">
      <c r="A289" s="10"/>
      <c r="B289" s="29"/>
      <c r="C289" s="30"/>
      <c r="D289" s="30"/>
      <c r="E289" s="30"/>
      <c r="F289" s="30"/>
      <c r="G289" s="31"/>
      <c r="H289" s="10"/>
    </row>
    <row r="290" ht="17.25" customHeight="1">
      <c r="A290" s="10"/>
      <c r="B290" s="29"/>
      <c r="C290" s="30"/>
      <c r="D290" s="30"/>
      <c r="E290" s="30"/>
      <c r="F290" s="30"/>
      <c r="G290" s="31"/>
      <c r="H290" s="10"/>
    </row>
    <row r="291" ht="17.25" customHeight="1">
      <c r="A291" s="10"/>
      <c r="B291" s="29"/>
      <c r="C291" s="30"/>
      <c r="D291" s="30"/>
      <c r="E291" s="30"/>
      <c r="F291" s="30"/>
      <c r="G291" s="31"/>
      <c r="H291" s="10"/>
    </row>
    <row r="292" ht="17.25" customHeight="1">
      <c r="A292" s="10"/>
      <c r="B292" s="29"/>
      <c r="C292" s="30"/>
      <c r="D292" s="30"/>
      <c r="E292" s="30"/>
      <c r="F292" s="30"/>
      <c r="G292" s="31"/>
      <c r="H292" s="10"/>
    </row>
    <row r="293" ht="17.25" customHeight="1">
      <c r="A293" s="10"/>
      <c r="B293" s="29"/>
      <c r="C293" s="30"/>
      <c r="D293" s="30"/>
      <c r="E293" s="30"/>
      <c r="F293" s="30"/>
      <c r="G293" s="31"/>
      <c r="H293" s="10"/>
    </row>
    <row r="294" ht="17.25" customHeight="1">
      <c r="A294" s="10"/>
      <c r="B294" s="29"/>
      <c r="C294" s="30"/>
      <c r="D294" s="30"/>
      <c r="E294" s="30"/>
      <c r="F294" s="30"/>
      <c r="G294" s="31"/>
      <c r="H294" s="10"/>
    </row>
    <row r="295" ht="17.25" customHeight="1">
      <c r="A295" s="10"/>
      <c r="B295" s="29"/>
      <c r="C295" s="30"/>
      <c r="D295" s="30"/>
      <c r="E295" s="30"/>
      <c r="F295" s="30"/>
      <c r="G295" s="31"/>
      <c r="H295" s="10"/>
    </row>
    <row r="296" ht="17.25" customHeight="1">
      <c r="A296" s="10"/>
      <c r="B296" s="29"/>
      <c r="C296" s="30"/>
      <c r="D296" s="30"/>
      <c r="E296" s="30"/>
      <c r="F296" s="30"/>
      <c r="G296" s="31"/>
      <c r="H296" s="10"/>
    </row>
    <row r="297" ht="17.25" customHeight="1">
      <c r="A297" s="10"/>
      <c r="B297" s="29"/>
      <c r="C297" s="30"/>
      <c r="D297" s="30"/>
      <c r="E297" s="30"/>
      <c r="F297" s="30"/>
      <c r="G297" s="31"/>
      <c r="H297" s="10"/>
    </row>
    <row r="298" ht="17.25" customHeight="1">
      <c r="A298" s="10"/>
      <c r="B298" s="29"/>
      <c r="C298" s="30"/>
      <c r="D298" s="30"/>
      <c r="E298" s="30"/>
      <c r="F298" s="30"/>
      <c r="G298" s="31"/>
      <c r="H298" s="10"/>
    </row>
    <row r="299" ht="17.25" customHeight="1">
      <c r="A299" s="10"/>
      <c r="B299" s="29"/>
      <c r="C299" s="30"/>
      <c r="D299" s="30"/>
      <c r="E299" s="30"/>
      <c r="F299" s="30"/>
      <c r="G299" s="31"/>
      <c r="H299" s="10"/>
    </row>
    <row r="300" ht="17.25" customHeight="1">
      <c r="A300" s="10"/>
      <c r="B300" s="29"/>
      <c r="C300" s="30"/>
      <c r="D300" s="30"/>
      <c r="E300" s="30"/>
      <c r="F300" s="30"/>
      <c r="G300" s="31"/>
      <c r="H300" s="10"/>
    </row>
    <row r="301" ht="17.25" customHeight="1">
      <c r="A301" s="10"/>
      <c r="B301" s="29"/>
      <c r="C301" s="30"/>
      <c r="D301" s="30"/>
      <c r="E301" s="30"/>
      <c r="F301" s="30"/>
      <c r="G301" s="31"/>
      <c r="H301" s="10"/>
    </row>
    <row r="302" ht="17.25" customHeight="1">
      <c r="A302" s="10"/>
      <c r="B302" s="29"/>
      <c r="C302" s="30"/>
      <c r="D302" s="30"/>
      <c r="E302" s="30"/>
      <c r="F302" s="30"/>
      <c r="G302" s="31"/>
      <c r="H302" s="10"/>
    </row>
    <row r="303" ht="17.25" customHeight="1">
      <c r="A303" s="10"/>
      <c r="B303" s="29"/>
      <c r="C303" s="30"/>
      <c r="D303" s="30"/>
      <c r="E303" s="30"/>
      <c r="F303" s="30"/>
      <c r="G303" s="31"/>
      <c r="H303" s="10"/>
    </row>
    <row r="304" ht="17.25" customHeight="1">
      <c r="A304" s="10"/>
      <c r="B304" s="29"/>
      <c r="C304" s="30"/>
      <c r="D304" s="30"/>
      <c r="E304" s="30"/>
      <c r="F304" s="30"/>
      <c r="G304" s="31"/>
      <c r="H304" s="10"/>
    </row>
    <row r="305" ht="17.25" customHeight="1">
      <c r="A305" s="10"/>
      <c r="B305" s="29"/>
      <c r="C305" s="30"/>
      <c r="D305" s="30"/>
      <c r="E305" s="30"/>
      <c r="F305" s="30"/>
      <c r="G305" s="31"/>
      <c r="H305" s="10"/>
    </row>
    <row r="306" ht="17.25" customHeight="1">
      <c r="A306" s="10"/>
      <c r="B306" s="29"/>
      <c r="C306" s="30"/>
      <c r="D306" s="30"/>
      <c r="E306" s="30"/>
      <c r="F306" s="30"/>
      <c r="G306" s="31"/>
      <c r="H306" s="10"/>
    </row>
    <row r="307" ht="17.25" customHeight="1">
      <c r="A307" s="10"/>
      <c r="B307" s="29"/>
      <c r="C307" s="30"/>
      <c r="D307" s="30"/>
      <c r="E307" s="30"/>
      <c r="F307" s="30"/>
      <c r="G307" s="31"/>
      <c r="H307" s="10"/>
    </row>
    <row r="308" ht="17.25" customHeight="1">
      <c r="A308" s="10"/>
      <c r="B308" s="29"/>
      <c r="C308" s="30"/>
      <c r="D308" s="30"/>
      <c r="E308" s="30"/>
      <c r="F308" s="30"/>
      <c r="G308" s="31"/>
      <c r="H308" s="10"/>
    </row>
    <row r="309" ht="17.25" customHeight="1">
      <c r="A309" s="10"/>
      <c r="B309" s="29"/>
      <c r="C309" s="30"/>
      <c r="D309" s="30"/>
      <c r="E309" s="30"/>
      <c r="F309" s="30"/>
      <c r="G309" s="31"/>
      <c r="H309" s="10"/>
    </row>
    <row r="310" ht="17.25" customHeight="1">
      <c r="A310" s="10"/>
      <c r="B310" s="29"/>
      <c r="C310" s="30"/>
      <c r="D310" s="30"/>
      <c r="E310" s="30"/>
      <c r="F310" s="30"/>
      <c r="G310" s="31"/>
      <c r="H310" s="10"/>
    </row>
    <row r="311" ht="17.25" customHeight="1">
      <c r="A311" s="10"/>
      <c r="B311" s="29"/>
      <c r="C311" s="30"/>
      <c r="D311" s="30"/>
      <c r="E311" s="30"/>
      <c r="F311" s="30"/>
      <c r="G311" s="31"/>
      <c r="H311" s="10"/>
    </row>
    <row r="312" ht="17.25" customHeight="1">
      <c r="A312" s="10"/>
      <c r="B312" s="29"/>
      <c r="C312" s="30"/>
      <c r="D312" s="30"/>
      <c r="E312" s="30"/>
      <c r="F312" s="30"/>
      <c r="G312" s="31"/>
      <c r="H312" s="10"/>
    </row>
    <row r="313" ht="17.25" customHeight="1">
      <c r="A313" s="10"/>
      <c r="B313" s="29"/>
      <c r="C313" s="30"/>
      <c r="D313" s="30"/>
      <c r="E313" s="30"/>
      <c r="F313" s="30"/>
      <c r="G313" s="31"/>
      <c r="H313" s="10"/>
    </row>
    <row r="314" ht="17.25" customHeight="1">
      <c r="A314" s="10"/>
      <c r="B314" s="29"/>
      <c r="C314" s="30"/>
      <c r="D314" s="30"/>
      <c r="E314" s="30"/>
      <c r="F314" s="30"/>
      <c r="G314" s="31"/>
      <c r="H314" s="10"/>
    </row>
    <row r="315" ht="17.25" customHeight="1">
      <c r="A315" s="10"/>
      <c r="B315" s="29"/>
      <c r="C315" s="30"/>
      <c r="D315" s="30"/>
      <c r="E315" s="30"/>
      <c r="F315" s="30"/>
      <c r="G315" s="31"/>
      <c r="H315" s="10"/>
    </row>
    <row r="316" ht="17.25" customHeight="1">
      <c r="A316" s="10"/>
      <c r="B316" s="29"/>
      <c r="C316" s="30"/>
      <c r="D316" s="30"/>
      <c r="E316" s="30"/>
      <c r="F316" s="30"/>
      <c r="G316" s="31"/>
      <c r="H316" s="10"/>
    </row>
    <row r="317" ht="17.25" customHeight="1">
      <c r="A317" s="10"/>
      <c r="B317" s="29"/>
      <c r="C317" s="30"/>
      <c r="D317" s="30"/>
      <c r="E317" s="30"/>
      <c r="F317" s="30"/>
      <c r="G317" s="31"/>
      <c r="H317" s="10"/>
    </row>
    <row r="318" ht="17.25" customHeight="1">
      <c r="A318" s="10"/>
      <c r="B318" s="29"/>
      <c r="C318" s="30"/>
      <c r="D318" s="30"/>
      <c r="E318" s="30"/>
      <c r="F318" s="30"/>
      <c r="G318" s="31"/>
      <c r="H318" s="10"/>
    </row>
    <row r="319" ht="17.25" customHeight="1">
      <c r="A319" s="10"/>
      <c r="B319" s="29"/>
      <c r="C319" s="30"/>
      <c r="D319" s="30"/>
      <c r="E319" s="30"/>
      <c r="F319" s="30"/>
      <c r="G319" s="31"/>
      <c r="H319" s="10"/>
    </row>
    <row r="320" ht="17.25" customHeight="1">
      <c r="A320" s="10"/>
      <c r="B320" s="29"/>
      <c r="C320" s="30"/>
      <c r="D320" s="30"/>
      <c r="E320" s="30"/>
      <c r="F320" s="30"/>
      <c r="G320" s="31"/>
      <c r="H320" s="10"/>
    </row>
    <row r="321" ht="17.25" customHeight="1">
      <c r="A321" s="10"/>
      <c r="B321" s="29"/>
      <c r="C321" s="30"/>
      <c r="D321" s="30"/>
      <c r="E321" s="30"/>
      <c r="F321" s="30"/>
      <c r="G321" s="31"/>
      <c r="H321" s="10"/>
    </row>
    <row r="322" ht="17.25" customHeight="1">
      <c r="A322" s="10"/>
      <c r="B322" s="29"/>
      <c r="C322" s="30"/>
      <c r="D322" s="30"/>
      <c r="E322" s="30"/>
      <c r="F322" s="30"/>
      <c r="G322" s="31"/>
      <c r="H322" s="10"/>
    </row>
    <row r="323" ht="17.25" customHeight="1">
      <c r="A323" s="10"/>
      <c r="B323" s="29"/>
      <c r="C323" s="30"/>
      <c r="D323" s="30"/>
      <c r="E323" s="30"/>
      <c r="F323" s="30"/>
      <c r="G323" s="31"/>
      <c r="H323" s="10"/>
    </row>
    <row r="324" ht="17.25" customHeight="1">
      <c r="A324" s="10"/>
      <c r="B324" s="29"/>
      <c r="C324" s="30"/>
      <c r="D324" s="30"/>
      <c r="E324" s="30"/>
      <c r="F324" s="30"/>
      <c r="G324" s="31"/>
      <c r="H324" s="10"/>
    </row>
    <row r="325" ht="17.25" customHeight="1">
      <c r="A325" s="10"/>
      <c r="B325" s="29"/>
      <c r="C325" s="30"/>
      <c r="D325" s="30"/>
      <c r="E325" s="30"/>
      <c r="F325" s="30"/>
      <c r="G325" s="31"/>
      <c r="H325" s="10"/>
    </row>
    <row r="326" ht="17.25" customHeight="1">
      <c r="A326" s="10"/>
      <c r="B326" s="29"/>
      <c r="C326" s="30"/>
      <c r="D326" s="30"/>
      <c r="E326" s="30"/>
      <c r="F326" s="30"/>
      <c r="G326" s="31"/>
      <c r="H326" s="10"/>
    </row>
    <row r="327" ht="17.25" customHeight="1">
      <c r="A327" s="10"/>
      <c r="B327" s="29"/>
      <c r="C327" s="30"/>
      <c r="D327" s="30"/>
      <c r="E327" s="30"/>
      <c r="F327" s="30"/>
      <c r="G327" s="31"/>
      <c r="H327" s="10"/>
    </row>
    <row r="328" ht="17.25" customHeight="1">
      <c r="A328" s="10"/>
      <c r="B328" s="29"/>
      <c r="C328" s="30"/>
      <c r="D328" s="30"/>
      <c r="E328" s="30"/>
      <c r="F328" s="30"/>
      <c r="G328" s="31"/>
      <c r="H328" s="10"/>
    </row>
    <row r="329" ht="17.25" customHeight="1">
      <c r="A329" s="10"/>
      <c r="B329" s="29"/>
      <c r="C329" s="30"/>
      <c r="D329" s="30"/>
      <c r="E329" s="30"/>
      <c r="F329" s="30"/>
      <c r="G329" s="31"/>
      <c r="H329" s="10"/>
    </row>
    <row r="330" ht="17.25" customHeight="1">
      <c r="A330" s="10"/>
      <c r="B330" s="29"/>
      <c r="C330" s="30"/>
      <c r="D330" s="30"/>
      <c r="E330" s="30"/>
      <c r="F330" s="30"/>
      <c r="G330" s="31"/>
      <c r="H330" s="10"/>
    </row>
    <row r="331" ht="17.25" customHeight="1">
      <c r="A331" s="10"/>
      <c r="B331" s="29"/>
      <c r="C331" s="30"/>
      <c r="D331" s="30"/>
      <c r="E331" s="30"/>
      <c r="F331" s="30"/>
      <c r="G331" s="31"/>
      <c r="H331" s="10"/>
    </row>
    <row r="332" ht="17.25" customHeight="1">
      <c r="A332" s="10"/>
      <c r="B332" s="29"/>
      <c r="C332" s="30"/>
      <c r="D332" s="30"/>
      <c r="E332" s="30"/>
      <c r="F332" s="30"/>
      <c r="G332" s="31"/>
      <c r="H332" s="10"/>
    </row>
    <row r="333" ht="17.25" customHeight="1">
      <c r="A333" s="10"/>
      <c r="B333" s="29"/>
      <c r="C333" s="30"/>
      <c r="D333" s="30"/>
      <c r="E333" s="30"/>
      <c r="F333" s="30"/>
      <c r="G333" s="31"/>
      <c r="H333" s="10"/>
    </row>
    <row r="334" ht="17.25" customHeight="1">
      <c r="A334" s="10"/>
      <c r="B334" s="29"/>
      <c r="C334" s="30"/>
      <c r="D334" s="30"/>
      <c r="E334" s="30"/>
      <c r="F334" s="30"/>
      <c r="G334" s="31"/>
      <c r="H334" s="10"/>
    </row>
    <row r="335" ht="17.25" customHeight="1">
      <c r="A335" s="10"/>
      <c r="B335" s="29"/>
      <c r="C335" s="30"/>
      <c r="D335" s="30"/>
      <c r="E335" s="30"/>
      <c r="F335" s="30"/>
      <c r="G335" s="31"/>
      <c r="H335" s="10"/>
    </row>
    <row r="336" ht="17.25" customHeight="1">
      <c r="A336" s="10"/>
      <c r="B336" s="29"/>
      <c r="C336" s="30"/>
      <c r="D336" s="30"/>
      <c r="E336" s="30"/>
      <c r="F336" s="30"/>
      <c r="G336" s="31"/>
      <c r="H336" s="10"/>
    </row>
    <row r="337" ht="17.25" customHeight="1">
      <c r="A337" s="10"/>
      <c r="B337" s="29"/>
      <c r="C337" s="30"/>
      <c r="D337" s="30"/>
      <c r="E337" s="30"/>
      <c r="F337" s="30"/>
      <c r="G337" s="31"/>
      <c r="H337" s="10"/>
    </row>
    <row r="338" ht="17.25" customHeight="1">
      <c r="A338" s="10"/>
      <c r="B338" s="29"/>
      <c r="C338" s="30"/>
      <c r="D338" s="30"/>
      <c r="E338" s="30"/>
      <c r="F338" s="30"/>
      <c r="G338" s="31"/>
      <c r="H338" s="10"/>
    </row>
    <row r="339" ht="17.25" customHeight="1">
      <c r="A339" s="10"/>
      <c r="B339" s="29"/>
      <c r="C339" s="30"/>
      <c r="D339" s="30"/>
      <c r="E339" s="30"/>
      <c r="F339" s="30"/>
      <c r="G339" s="31"/>
      <c r="H339" s="10"/>
    </row>
    <row r="340" ht="17.25" customHeight="1">
      <c r="A340" s="10"/>
      <c r="B340" s="29"/>
      <c r="C340" s="30"/>
      <c r="D340" s="30"/>
      <c r="E340" s="30"/>
      <c r="F340" s="30"/>
      <c r="G340" s="31"/>
      <c r="H340" s="10"/>
    </row>
    <row r="341" ht="17.25" customHeight="1">
      <c r="A341" s="10"/>
      <c r="B341" s="29"/>
      <c r="C341" s="30"/>
      <c r="D341" s="30"/>
      <c r="E341" s="30"/>
      <c r="F341" s="30"/>
      <c r="G341" s="31"/>
      <c r="H341" s="10"/>
    </row>
    <row r="342" ht="17.25" customHeight="1">
      <c r="A342" s="10"/>
      <c r="B342" s="29"/>
      <c r="C342" s="30"/>
      <c r="D342" s="30"/>
      <c r="E342" s="30"/>
      <c r="F342" s="30"/>
      <c r="G342" s="31"/>
      <c r="H342" s="10"/>
    </row>
    <row r="343" ht="17.25" customHeight="1">
      <c r="A343" s="10"/>
      <c r="B343" s="29"/>
      <c r="C343" s="30"/>
      <c r="D343" s="30"/>
      <c r="E343" s="30"/>
      <c r="F343" s="30"/>
      <c r="G343" s="31"/>
      <c r="H343" s="10"/>
    </row>
    <row r="344" ht="17.25" customHeight="1">
      <c r="A344" s="10"/>
      <c r="B344" s="29"/>
      <c r="C344" s="30"/>
      <c r="D344" s="30"/>
      <c r="E344" s="30"/>
      <c r="F344" s="30"/>
      <c r="G344" s="31"/>
      <c r="H344" s="10"/>
    </row>
    <row r="345" ht="17.25" customHeight="1">
      <c r="A345" s="10"/>
      <c r="B345" s="29"/>
      <c r="C345" s="30"/>
      <c r="D345" s="30"/>
      <c r="E345" s="30"/>
      <c r="F345" s="30"/>
      <c r="G345" s="31"/>
      <c r="H345" s="10"/>
    </row>
    <row r="346" ht="17.25" customHeight="1">
      <c r="A346" s="10"/>
      <c r="B346" s="29"/>
      <c r="C346" s="30"/>
      <c r="D346" s="30"/>
      <c r="E346" s="30"/>
      <c r="F346" s="30"/>
      <c r="G346" s="31"/>
      <c r="H346" s="10"/>
    </row>
    <row r="347" ht="17.25" customHeight="1">
      <c r="A347" s="10"/>
      <c r="B347" s="29"/>
      <c r="C347" s="30"/>
      <c r="D347" s="30"/>
      <c r="E347" s="30"/>
      <c r="F347" s="30"/>
      <c r="G347" s="31"/>
      <c r="H347" s="10"/>
    </row>
    <row r="348" ht="17.25" customHeight="1">
      <c r="A348" s="10"/>
      <c r="B348" s="29"/>
      <c r="C348" s="30"/>
      <c r="D348" s="30"/>
      <c r="E348" s="30"/>
      <c r="F348" s="30"/>
      <c r="G348" s="31"/>
      <c r="H348" s="10"/>
    </row>
    <row r="349" ht="17.25" customHeight="1">
      <c r="A349" s="10"/>
      <c r="B349" s="29"/>
      <c r="C349" s="30"/>
      <c r="D349" s="30"/>
      <c r="E349" s="30"/>
      <c r="F349" s="30"/>
      <c r="G349" s="31"/>
      <c r="H349" s="10"/>
    </row>
    <row r="350" ht="17.25" customHeight="1">
      <c r="A350" s="10"/>
      <c r="B350" s="29"/>
      <c r="C350" s="30"/>
      <c r="D350" s="30"/>
      <c r="E350" s="30"/>
      <c r="F350" s="30"/>
      <c r="G350" s="31"/>
      <c r="H350" s="10"/>
    </row>
    <row r="351" ht="17.25" customHeight="1">
      <c r="A351" s="10"/>
      <c r="B351" s="29"/>
      <c r="C351" s="30"/>
      <c r="D351" s="30"/>
      <c r="E351" s="30"/>
      <c r="F351" s="30"/>
      <c r="G351" s="31"/>
      <c r="H351" s="10"/>
    </row>
    <row r="352" ht="17.25" customHeight="1">
      <c r="A352" s="10"/>
      <c r="B352" s="29"/>
      <c r="C352" s="30"/>
      <c r="D352" s="30"/>
      <c r="E352" s="30"/>
      <c r="F352" s="30"/>
      <c r="G352" s="31"/>
      <c r="H352" s="10"/>
    </row>
    <row r="353" ht="17.25" customHeight="1">
      <c r="A353" s="10"/>
      <c r="B353" s="29"/>
      <c r="C353" s="30"/>
      <c r="D353" s="30"/>
      <c r="E353" s="30"/>
      <c r="F353" s="30"/>
      <c r="G353" s="31"/>
      <c r="H353" s="10"/>
    </row>
    <row r="354" ht="17.25" customHeight="1">
      <c r="A354" s="10"/>
      <c r="B354" s="29"/>
      <c r="C354" s="30"/>
      <c r="D354" s="30"/>
      <c r="E354" s="30"/>
      <c r="F354" s="30"/>
      <c r="G354" s="31"/>
      <c r="H354" s="10"/>
    </row>
    <row r="355" ht="17.25" customHeight="1">
      <c r="A355" s="10"/>
      <c r="B355" s="29"/>
      <c r="C355" s="30"/>
      <c r="D355" s="30"/>
      <c r="E355" s="30"/>
      <c r="F355" s="30"/>
      <c r="G355" s="31"/>
      <c r="H355" s="10"/>
    </row>
    <row r="356" ht="17.25" customHeight="1">
      <c r="A356" s="10"/>
      <c r="B356" s="29"/>
      <c r="C356" s="30"/>
      <c r="D356" s="30"/>
      <c r="E356" s="30"/>
      <c r="F356" s="30"/>
      <c r="G356" s="31"/>
      <c r="H356" s="10"/>
    </row>
    <row r="357" ht="17.25" customHeight="1">
      <c r="A357" s="10"/>
      <c r="B357" s="29"/>
      <c r="C357" s="30"/>
      <c r="D357" s="30"/>
      <c r="E357" s="30"/>
      <c r="F357" s="30"/>
      <c r="G357" s="31"/>
      <c r="H357" s="10"/>
    </row>
    <row r="358" ht="17.25" customHeight="1">
      <c r="A358" s="10"/>
      <c r="B358" s="29"/>
      <c r="C358" s="30"/>
      <c r="D358" s="30"/>
      <c r="E358" s="30"/>
      <c r="F358" s="30"/>
      <c r="G358" s="31"/>
      <c r="H358" s="10"/>
    </row>
    <row r="359" ht="17.25" customHeight="1">
      <c r="A359" s="10"/>
      <c r="B359" s="29"/>
      <c r="C359" s="30"/>
      <c r="D359" s="30"/>
      <c r="E359" s="30"/>
      <c r="F359" s="30"/>
      <c r="G359" s="31"/>
      <c r="H359" s="10"/>
    </row>
    <row r="360" ht="17.25" customHeight="1">
      <c r="A360" s="10"/>
      <c r="B360" s="29"/>
      <c r="C360" s="30"/>
      <c r="D360" s="30"/>
      <c r="E360" s="30"/>
      <c r="F360" s="30"/>
      <c r="G360" s="31"/>
      <c r="H360" s="10"/>
    </row>
    <row r="361" ht="17.25" customHeight="1">
      <c r="A361" s="10"/>
      <c r="B361" s="29"/>
      <c r="C361" s="30"/>
      <c r="D361" s="30"/>
      <c r="E361" s="30"/>
      <c r="F361" s="30"/>
      <c r="G361" s="31"/>
      <c r="H361" s="10"/>
    </row>
    <row r="362" ht="17.25" customHeight="1">
      <c r="A362" s="10"/>
      <c r="B362" s="29"/>
      <c r="C362" s="30"/>
      <c r="D362" s="30"/>
      <c r="E362" s="30"/>
      <c r="F362" s="30"/>
      <c r="G362" s="31"/>
      <c r="H362" s="10"/>
    </row>
    <row r="363" ht="17.25" customHeight="1">
      <c r="A363" s="10"/>
      <c r="B363" s="29"/>
      <c r="C363" s="30"/>
      <c r="D363" s="30"/>
      <c r="E363" s="30"/>
      <c r="F363" s="30"/>
      <c r="G363" s="31"/>
      <c r="H363" s="10"/>
    </row>
    <row r="364" ht="17.25" customHeight="1">
      <c r="A364" s="10"/>
      <c r="B364" s="29"/>
      <c r="C364" s="30"/>
      <c r="D364" s="30"/>
      <c r="E364" s="30"/>
      <c r="F364" s="30"/>
      <c r="G364" s="31"/>
      <c r="H364" s="10"/>
    </row>
    <row r="365" ht="17.25" customHeight="1">
      <c r="A365" s="10"/>
      <c r="B365" s="29"/>
      <c r="C365" s="30"/>
      <c r="D365" s="30"/>
      <c r="E365" s="30"/>
      <c r="F365" s="30"/>
      <c r="G365" s="31"/>
      <c r="H365" s="10"/>
    </row>
    <row r="366" ht="17.25" customHeight="1">
      <c r="A366" s="10"/>
      <c r="B366" s="29"/>
      <c r="C366" s="30"/>
      <c r="D366" s="30"/>
      <c r="E366" s="30"/>
      <c r="F366" s="30"/>
      <c r="G366" s="31"/>
      <c r="H366" s="10"/>
    </row>
    <row r="367" ht="17.25" customHeight="1">
      <c r="A367" s="10"/>
      <c r="B367" s="29"/>
      <c r="C367" s="30"/>
      <c r="D367" s="30"/>
      <c r="E367" s="30"/>
      <c r="F367" s="30"/>
      <c r="G367" s="31"/>
      <c r="H367" s="10"/>
    </row>
    <row r="368" ht="17.25" customHeight="1">
      <c r="A368" s="10"/>
      <c r="B368" s="29"/>
      <c r="C368" s="30"/>
      <c r="D368" s="30"/>
      <c r="E368" s="30"/>
      <c r="F368" s="30"/>
      <c r="G368" s="31"/>
      <c r="H368" s="10"/>
    </row>
    <row r="369" ht="17.25" customHeight="1">
      <c r="A369" s="10"/>
      <c r="B369" s="29"/>
      <c r="C369" s="30"/>
      <c r="D369" s="30"/>
      <c r="E369" s="30"/>
      <c r="F369" s="30"/>
      <c r="G369" s="31"/>
      <c r="H369" s="10"/>
    </row>
    <row r="370" ht="17.25" customHeight="1">
      <c r="A370" s="10"/>
      <c r="B370" s="29"/>
      <c r="C370" s="30"/>
      <c r="D370" s="30"/>
      <c r="E370" s="30"/>
      <c r="F370" s="30"/>
      <c r="G370" s="31"/>
      <c r="H370" s="10"/>
    </row>
    <row r="371" ht="17.25" customHeight="1">
      <c r="A371" s="10"/>
      <c r="B371" s="29"/>
      <c r="C371" s="30"/>
      <c r="D371" s="30"/>
      <c r="E371" s="30"/>
      <c r="F371" s="30"/>
      <c r="G371" s="31"/>
      <c r="H371" s="10"/>
    </row>
    <row r="372" ht="17.25" customHeight="1">
      <c r="A372" s="10"/>
      <c r="B372" s="29"/>
      <c r="C372" s="30"/>
      <c r="D372" s="30"/>
      <c r="E372" s="30"/>
      <c r="F372" s="30"/>
      <c r="G372" s="31"/>
      <c r="H372" s="10"/>
    </row>
    <row r="373" ht="17.25" customHeight="1">
      <c r="A373" s="10"/>
      <c r="B373" s="29"/>
      <c r="C373" s="30"/>
      <c r="D373" s="30"/>
      <c r="E373" s="30"/>
      <c r="F373" s="30"/>
      <c r="G373" s="31"/>
      <c r="H373" s="10"/>
    </row>
    <row r="374" ht="17.25" customHeight="1">
      <c r="A374" s="10"/>
      <c r="B374" s="29"/>
      <c r="C374" s="30"/>
      <c r="D374" s="30"/>
      <c r="E374" s="30"/>
      <c r="F374" s="30"/>
      <c r="G374" s="31"/>
      <c r="H374" s="10"/>
    </row>
    <row r="375" ht="17.25" customHeight="1">
      <c r="A375" s="10"/>
      <c r="B375" s="29"/>
      <c r="C375" s="30"/>
      <c r="D375" s="30"/>
      <c r="E375" s="30"/>
      <c r="F375" s="30"/>
      <c r="G375" s="31"/>
      <c r="H375" s="10"/>
    </row>
    <row r="376" ht="17.25" customHeight="1">
      <c r="A376" s="10"/>
      <c r="B376" s="29"/>
      <c r="C376" s="30"/>
      <c r="D376" s="30"/>
      <c r="E376" s="30"/>
      <c r="F376" s="30"/>
      <c r="G376" s="31"/>
      <c r="H376" s="10"/>
    </row>
    <row r="377" ht="17.25" customHeight="1">
      <c r="A377" s="10"/>
      <c r="B377" s="29"/>
      <c r="C377" s="30"/>
      <c r="D377" s="30"/>
      <c r="E377" s="30"/>
      <c r="F377" s="30"/>
      <c r="G377" s="31"/>
      <c r="H377" s="10"/>
    </row>
    <row r="378" ht="17.25" customHeight="1">
      <c r="A378" s="10"/>
      <c r="B378" s="29"/>
      <c r="C378" s="30"/>
      <c r="D378" s="30"/>
      <c r="E378" s="30"/>
      <c r="F378" s="30"/>
      <c r="G378" s="31"/>
      <c r="H378" s="10"/>
    </row>
    <row r="379" ht="17.25" customHeight="1">
      <c r="A379" s="10"/>
      <c r="B379" s="29"/>
      <c r="C379" s="30"/>
      <c r="D379" s="30"/>
      <c r="E379" s="30"/>
      <c r="F379" s="30"/>
      <c r="G379" s="31"/>
      <c r="H379" s="10"/>
    </row>
    <row r="380" ht="17.25" customHeight="1">
      <c r="A380" s="10"/>
      <c r="B380" s="29"/>
      <c r="C380" s="30"/>
      <c r="D380" s="30"/>
      <c r="E380" s="30"/>
      <c r="F380" s="30"/>
      <c r="G380" s="31"/>
      <c r="H380" s="10"/>
    </row>
    <row r="381" ht="17.25" customHeight="1">
      <c r="A381" s="10"/>
      <c r="B381" s="29"/>
      <c r="C381" s="30"/>
      <c r="D381" s="30"/>
      <c r="E381" s="30"/>
      <c r="F381" s="30"/>
      <c r="G381" s="31"/>
      <c r="H381" s="10"/>
    </row>
    <row r="382" ht="17.25" customHeight="1">
      <c r="A382" s="10"/>
      <c r="B382" s="29"/>
      <c r="C382" s="30"/>
      <c r="D382" s="30"/>
      <c r="E382" s="30"/>
      <c r="F382" s="30"/>
      <c r="G382" s="31"/>
      <c r="H382" s="10"/>
    </row>
    <row r="383" ht="17.25" customHeight="1">
      <c r="A383" s="10"/>
      <c r="B383" s="29"/>
      <c r="C383" s="30"/>
      <c r="D383" s="30"/>
      <c r="E383" s="30"/>
      <c r="F383" s="30"/>
      <c r="G383" s="31"/>
      <c r="H383" s="10"/>
    </row>
    <row r="384" ht="17.25" customHeight="1">
      <c r="A384" s="10"/>
      <c r="B384" s="29"/>
      <c r="C384" s="30"/>
      <c r="D384" s="30"/>
      <c r="E384" s="30"/>
      <c r="F384" s="30"/>
      <c r="G384" s="31"/>
      <c r="H384" s="10"/>
    </row>
    <row r="385" ht="17.25" customHeight="1">
      <c r="A385" s="10"/>
      <c r="B385" s="29"/>
      <c r="C385" s="30"/>
      <c r="D385" s="30"/>
      <c r="E385" s="30"/>
      <c r="F385" s="30"/>
      <c r="G385" s="31"/>
      <c r="H385" s="10"/>
    </row>
    <row r="386" ht="17.25" customHeight="1">
      <c r="A386" s="10"/>
      <c r="B386" s="29"/>
      <c r="C386" s="30"/>
      <c r="D386" s="30"/>
      <c r="E386" s="30"/>
      <c r="F386" s="30"/>
      <c r="G386" s="31"/>
      <c r="H386" s="10"/>
    </row>
    <row r="387" ht="17.25" customHeight="1">
      <c r="A387" s="10"/>
      <c r="B387" s="29"/>
      <c r="C387" s="30"/>
      <c r="D387" s="30"/>
      <c r="E387" s="30"/>
      <c r="F387" s="30"/>
      <c r="G387" s="31"/>
      <c r="H387" s="10"/>
    </row>
    <row r="388" ht="17.25" customHeight="1">
      <c r="A388" s="10"/>
      <c r="B388" s="29"/>
      <c r="C388" s="30"/>
      <c r="D388" s="30"/>
      <c r="E388" s="30"/>
      <c r="F388" s="30"/>
      <c r="G388" s="31"/>
      <c r="H388" s="10"/>
    </row>
    <row r="389" ht="17.25" customHeight="1">
      <c r="A389" s="10"/>
      <c r="B389" s="29"/>
      <c r="C389" s="30"/>
      <c r="D389" s="30"/>
      <c r="E389" s="30"/>
      <c r="F389" s="30"/>
      <c r="G389" s="31"/>
      <c r="H389" s="10"/>
    </row>
    <row r="390" ht="17.25" customHeight="1">
      <c r="A390" s="10"/>
      <c r="B390" s="29"/>
      <c r="C390" s="30"/>
      <c r="D390" s="30"/>
      <c r="E390" s="30"/>
      <c r="F390" s="30"/>
      <c r="G390" s="31"/>
      <c r="H390" s="10"/>
    </row>
    <row r="391" ht="17.25" customHeight="1">
      <c r="A391" s="10"/>
      <c r="B391" s="29"/>
      <c r="C391" s="30"/>
      <c r="D391" s="30"/>
      <c r="E391" s="30"/>
      <c r="F391" s="30"/>
      <c r="G391" s="31"/>
      <c r="H391" s="10"/>
    </row>
    <row r="392" ht="17.25" customHeight="1">
      <c r="A392" s="10"/>
      <c r="B392" s="29"/>
      <c r="C392" s="30"/>
      <c r="D392" s="30"/>
      <c r="E392" s="30"/>
      <c r="F392" s="30"/>
      <c r="G392" s="31"/>
      <c r="H392" s="10"/>
    </row>
    <row r="393" ht="17.25" customHeight="1">
      <c r="A393" s="10"/>
      <c r="B393" s="29"/>
      <c r="C393" s="30"/>
      <c r="D393" s="30"/>
      <c r="E393" s="30"/>
      <c r="F393" s="30"/>
      <c r="G393" s="31"/>
      <c r="H393" s="10"/>
    </row>
    <row r="394" ht="17.25" customHeight="1">
      <c r="A394" s="10"/>
      <c r="B394" s="29"/>
      <c r="C394" s="30"/>
      <c r="D394" s="30"/>
      <c r="E394" s="30"/>
      <c r="F394" s="30"/>
      <c r="G394" s="31"/>
      <c r="H394" s="10"/>
    </row>
    <row r="395" ht="17.25" customHeight="1">
      <c r="A395" s="10"/>
      <c r="B395" s="29"/>
      <c r="C395" s="30"/>
      <c r="D395" s="30"/>
      <c r="E395" s="30"/>
      <c r="F395" s="30"/>
      <c r="G395" s="31"/>
      <c r="H395" s="10"/>
    </row>
    <row r="396" ht="17.25" customHeight="1">
      <c r="A396" s="10"/>
      <c r="B396" s="29"/>
      <c r="C396" s="30"/>
      <c r="D396" s="30"/>
      <c r="E396" s="30"/>
      <c r="F396" s="30"/>
      <c r="G396" s="31"/>
      <c r="H396" s="10"/>
    </row>
    <row r="397" ht="17.25" customHeight="1">
      <c r="A397" s="10"/>
      <c r="B397" s="29"/>
      <c r="C397" s="30"/>
      <c r="D397" s="30"/>
      <c r="E397" s="30"/>
      <c r="F397" s="30"/>
      <c r="G397" s="31"/>
      <c r="H397" s="10"/>
    </row>
    <row r="398" ht="17.25" customHeight="1">
      <c r="A398" s="10"/>
      <c r="B398" s="29"/>
      <c r="C398" s="30"/>
      <c r="D398" s="30"/>
      <c r="E398" s="30"/>
      <c r="F398" s="30"/>
      <c r="G398" s="31"/>
      <c r="H398" s="10"/>
    </row>
    <row r="399" ht="17.25" customHeight="1">
      <c r="A399" s="10"/>
      <c r="B399" s="29"/>
      <c r="C399" s="30"/>
      <c r="D399" s="30"/>
      <c r="E399" s="30"/>
      <c r="F399" s="30"/>
      <c r="G399" s="31"/>
      <c r="H399" s="10"/>
    </row>
    <row r="400" ht="17.25" customHeight="1">
      <c r="A400" s="10"/>
      <c r="B400" s="29"/>
      <c r="C400" s="30"/>
      <c r="D400" s="30"/>
      <c r="E400" s="30"/>
      <c r="F400" s="30"/>
      <c r="G400" s="31"/>
      <c r="H400" s="10"/>
    </row>
    <row r="401" ht="17.25" customHeight="1">
      <c r="A401" s="10"/>
      <c r="B401" s="29"/>
      <c r="C401" s="30"/>
      <c r="D401" s="30"/>
      <c r="E401" s="30"/>
      <c r="F401" s="30"/>
      <c r="G401" s="31"/>
      <c r="H401" s="10"/>
    </row>
    <row r="402" ht="17.25" customHeight="1">
      <c r="A402" s="10"/>
      <c r="B402" s="29"/>
      <c r="C402" s="30"/>
      <c r="D402" s="30"/>
      <c r="E402" s="30"/>
      <c r="F402" s="30"/>
      <c r="G402" s="31"/>
      <c r="H402" s="10"/>
    </row>
    <row r="403" ht="17.25" customHeight="1">
      <c r="A403" s="10"/>
      <c r="B403" s="29"/>
      <c r="C403" s="30"/>
      <c r="D403" s="30"/>
      <c r="E403" s="30"/>
      <c r="F403" s="30"/>
      <c r="G403" s="31"/>
      <c r="H403" s="10"/>
    </row>
    <row r="404" ht="17.25" customHeight="1">
      <c r="A404" s="10"/>
      <c r="B404" s="29"/>
      <c r="C404" s="30"/>
      <c r="D404" s="30"/>
      <c r="E404" s="30"/>
      <c r="F404" s="30"/>
      <c r="G404" s="31"/>
      <c r="H404" s="10"/>
    </row>
    <row r="405" ht="17.25" customHeight="1">
      <c r="A405" s="10"/>
      <c r="B405" s="29"/>
      <c r="C405" s="30"/>
      <c r="D405" s="30"/>
      <c r="E405" s="30"/>
      <c r="F405" s="30"/>
      <c r="G405" s="31"/>
      <c r="H405" s="10"/>
    </row>
    <row r="406" ht="17.25" customHeight="1">
      <c r="A406" s="10"/>
      <c r="B406" s="29"/>
      <c r="C406" s="30"/>
      <c r="D406" s="30"/>
      <c r="E406" s="30"/>
      <c r="F406" s="30"/>
      <c r="G406" s="31"/>
      <c r="H406" s="10"/>
    </row>
    <row r="407" ht="17.25" customHeight="1">
      <c r="A407" s="10"/>
      <c r="B407" s="29"/>
      <c r="C407" s="30"/>
      <c r="D407" s="30"/>
      <c r="E407" s="30"/>
      <c r="F407" s="30"/>
      <c r="G407" s="31"/>
      <c r="H407" s="10"/>
    </row>
    <row r="408" ht="17.25" customHeight="1">
      <c r="A408" s="10"/>
      <c r="B408" s="29"/>
      <c r="C408" s="30"/>
      <c r="D408" s="30"/>
      <c r="E408" s="30"/>
      <c r="F408" s="30"/>
      <c r="G408" s="31"/>
      <c r="H408" s="10"/>
    </row>
    <row r="409" ht="17.25" customHeight="1">
      <c r="A409" s="10"/>
      <c r="B409" s="29"/>
      <c r="C409" s="30"/>
      <c r="D409" s="30"/>
      <c r="E409" s="30"/>
      <c r="F409" s="30"/>
      <c r="G409" s="31"/>
      <c r="H409" s="10"/>
    </row>
    <row r="410" ht="17.25" customHeight="1">
      <c r="A410" s="10"/>
      <c r="B410" s="29"/>
      <c r="C410" s="30"/>
      <c r="D410" s="30"/>
      <c r="E410" s="30"/>
      <c r="F410" s="30"/>
      <c r="G410" s="31"/>
      <c r="H410" s="10"/>
    </row>
    <row r="411" ht="17.25" customHeight="1">
      <c r="A411" s="10"/>
      <c r="B411" s="29"/>
      <c r="C411" s="30"/>
      <c r="D411" s="30"/>
      <c r="E411" s="30"/>
      <c r="F411" s="30"/>
      <c r="G411" s="31"/>
      <c r="H411" s="10"/>
    </row>
    <row r="412" ht="17.25" customHeight="1">
      <c r="A412" s="10"/>
      <c r="B412" s="29"/>
      <c r="C412" s="30"/>
      <c r="D412" s="30"/>
      <c r="E412" s="30"/>
      <c r="F412" s="30"/>
      <c r="G412" s="31"/>
      <c r="H412" s="10"/>
    </row>
    <row r="413" ht="17.25" customHeight="1">
      <c r="A413" s="10"/>
      <c r="B413" s="29"/>
      <c r="C413" s="30"/>
      <c r="D413" s="30"/>
      <c r="E413" s="30"/>
      <c r="F413" s="30"/>
      <c r="G413" s="31"/>
      <c r="H413" s="10"/>
    </row>
    <row r="414" ht="17.25" customHeight="1">
      <c r="A414" s="10"/>
      <c r="B414" s="29"/>
      <c r="C414" s="30"/>
      <c r="D414" s="30"/>
      <c r="E414" s="30"/>
      <c r="F414" s="30"/>
      <c r="G414" s="31"/>
      <c r="H414" s="10"/>
    </row>
    <row r="415" ht="17.25" customHeight="1">
      <c r="A415" s="10"/>
      <c r="B415" s="29"/>
      <c r="C415" s="30"/>
      <c r="D415" s="30"/>
      <c r="E415" s="30"/>
      <c r="F415" s="30"/>
      <c r="G415" s="31"/>
      <c r="H415" s="10"/>
    </row>
    <row r="416" ht="17.25" customHeight="1">
      <c r="A416" s="10"/>
      <c r="B416" s="29"/>
      <c r="C416" s="30"/>
      <c r="D416" s="30"/>
      <c r="E416" s="30"/>
      <c r="F416" s="30"/>
      <c r="G416" s="31"/>
      <c r="H416" s="10"/>
    </row>
    <row r="417" ht="17.25" customHeight="1">
      <c r="A417" s="10"/>
      <c r="B417" s="29"/>
      <c r="C417" s="30"/>
      <c r="D417" s="30"/>
      <c r="E417" s="30"/>
      <c r="F417" s="30"/>
      <c r="G417" s="31"/>
      <c r="H417" s="10"/>
    </row>
    <row r="418" ht="17.25" customHeight="1">
      <c r="A418" s="10"/>
      <c r="B418" s="29"/>
      <c r="C418" s="30"/>
      <c r="D418" s="30"/>
      <c r="E418" s="30"/>
      <c r="F418" s="30"/>
      <c r="G418" s="31"/>
      <c r="H418" s="10"/>
    </row>
    <row r="419" ht="17.25" customHeight="1">
      <c r="A419" s="10"/>
      <c r="B419" s="29"/>
      <c r="C419" s="30"/>
      <c r="D419" s="30"/>
      <c r="E419" s="30"/>
      <c r="F419" s="30"/>
      <c r="G419" s="31"/>
      <c r="H419" s="10"/>
    </row>
    <row r="420" ht="17.25" customHeight="1">
      <c r="A420" s="10"/>
      <c r="B420" s="29"/>
      <c r="C420" s="30"/>
      <c r="D420" s="30"/>
      <c r="E420" s="30"/>
      <c r="F420" s="30"/>
      <c r="G420" s="31"/>
      <c r="H420" s="10"/>
    </row>
    <row r="421" ht="17.25" customHeight="1">
      <c r="A421" s="10"/>
      <c r="B421" s="29"/>
      <c r="C421" s="30"/>
      <c r="D421" s="30"/>
      <c r="E421" s="30"/>
      <c r="F421" s="30"/>
      <c r="G421" s="31"/>
      <c r="H421" s="10"/>
    </row>
    <row r="422" ht="17.25" customHeight="1">
      <c r="A422" s="10"/>
      <c r="B422" s="29"/>
      <c r="C422" s="30"/>
      <c r="D422" s="30"/>
      <c r="E422" s="30"/>
      <c r="F422" s="30"/>
      <c r="G422" s="31"/>
      <c r="H422" s="10"/>
    </row>
    <row r="423" ht="17.25" customHeight="1">
      <c r="A423" s="10"/>
      <c r="B423" s="29"/>
      <c r="C423" s="30"/>
      <c r="D423" s="30"/>
      <c r="E423" s="30"/>
      <c r="F423" s="30"/>
      <c r="G423" s="31"/>
      <c r="H423" s="10"/>
    </row>
    <row r="424" ht="17.25" customHeight="1">
      <c r="A424" s="10"/>
      <c r="B424" s="29"/>
      <c r="C424" s="30"/>
      <c r="D424" s="30"/>
      <c r="E424" s="30"/>
      <c r="F424" s="30"/>
      <c r="G424" s="31"/>
      <c r="H424" s="10"/>
    </row>
    <row r="425" ht="17.25" customHeight="1">
      <c r="A425" s="10"/>
      <c r="B425" s="29"/>
      <c r="C425" s="30"/>
      <c r="D425" s="30"/>
      <c r="E425" s="30"/>
      <c r="F425" s="30"/>
      <c r="G425" s="31"/>
      <c r="H425" s="10"/>
    </row>
    <row r="426" ht="17.25" customHeight="1">
      <c r="A426" s="10"/>
      <c r="B426" s="29"/>
      <c r="C426" s="30"/>
      <c r="D426" s="30"/>
      <c r="E426" s="30"/>
      <c r="F426" s="30"/>
      <c r="G426" s="31"/>
      <c r="H426" s="10"/>
    </row>
    <row r="427" ht="17.25" customHeight="1">
      <c r="A427" s="10"/>
      <c r="B427" s="29"/>
      <c r="C427" s="30"/>
      <c r="D427" s="30"/>
      <c r="E427" s="30"/>
      <c r="F427" s="30"/>
      <c r="G427" s="31"/>
      <c r="H427" s="10"/>
    </row>
    <row r="428" ht="17.25" customHeight="1">
      <c r="A428" s="10"/>
      <c r="B428" s="29"/>
      <c r="C428" s="30"/>
      <c r="D428" s="30"/>
      <c r="E428" s="30"/>
      <c r="F428" s="30"/>
      <c r="G428" s="31"/>
      <c r="H428" s="10"/>
    </row>
    <row r="429" ht="17.25" customHeight="1">
      <c r="A429" s="10"/>
      <c r="B429" s="29"/>
      <c r="C429" s="30"/>
      <c r="D429" s="30"/>
      <c r="E429" s="30"/>
      <c r="F429" s="30"/>
      <c r="G429" s="31"/>
      <c r="H429" s="10"/>
    </row>
    <row r="430" ht="17.25" customHeight="1">
      <c r="A430" s="10"/>
      <c r="B430" s="29"/>
      <c r="C430" s="30"/>
      <c r="D430" s="30"/>
      <c r="E430" s="30"/>
      <c r="F430" s="30"/>
      <c r="G430" s="31"/>
      <c r="H430" s="10"/>
    </row>
    <row r="431" ht="17.25" customHeight="1">
      <c r="A431" s="10"/>
      <c r="B431" s="29"/>
      <c r="C431" s="30"/>
      <c r="D431" s="30"/>
      <c r="E431" s="30"/>
      <c r="F431" s="30"/>
      <c r="G431" s="31"/>
      <c r="H431" s="10"/>
    </row>
    <row r="432" ht="17.25" customHeight="1">
      <c r="A432" s="10"/>
      <c r="B432" s="29"/>
      <c r="C432" s="30"/>
      <c r="D432" s="30"/>
      <c r="E432" s="30"/>
      <c r="F432" s="30"/>
      <c r="G432" s="31"/>
      <c r="H432" s="10"/>
    </row>
    <row r="433" ht="17.25" customHeight="1">
      <c r="A433" s="10"/>
      <c r="B433" s="29"/>
      <c r="C433" s="30"/>
      <c r="D433" s="30"/>
      <c r="E433" s="30"/>
      <c r="F433" s="30"/>
      <c r="G433" s="31"/>
      <c r="H433" s="10"/>
    </row>
    <row r="434" ht="17.25" customHeight="1">
      <c r="A434" s="10"/>
      <c r="B434" s="29"/>
      <c r="C434" s="30"/>
      <c r="D434" s="30"/>
      <c r="E434" s="30"/>
      <c r="F434" s="30"/>
      <c r="G434" s="31"/>
      <c r="H434" s="10"/>
    </row>
    <row r="435" ht="17.25" customHeight="1">
      <c r="A435" s="10"/>
      <c r="B435" s="29"/>
      <c r="C435" s="30"/>
      <c r="D435" s="30"/>
      <c r="E435" s="30"/>
      <c r="F435" s="30"/>
      <c r="G435" s="31"/>
      <c r="H435" s="10"/>
    </row>
    <row r="436" ht="17.25" customHeight="1">
      <c r="A436" s="10"/>
      <c r="B436" s="29"/>
      <c r="C436" s="30"/>
      <c r="D436" s="30"/>
      <c r="E436" s="30"/>
      <c r="F436" s="30"/>
      <c r="G436" s="31"/>
      <c r="H436" s="10"/>
    </row>
    <row r="437" ht="17.25" customHeight="1">
      <c r="A437" s="10"/>
      <c r="B437" s="29"/>
      <c r="C437" s="30"/>
      <c r="D437" s="30"/>
      <c r="E437" s="30"/>
      <c r="F437" s="30"/>
      <c r="G437" s="31"/>
      <c r="H437" s="10"/>
    </row>
    <row r="438" ht="17.25" customHeight="1">
      <c r="A438" s="10"/>
      <c r="B438" s="29"/>
      <c r="C438" s="30"/>
      <c r="D438" s="30"/>
      <c r="E438" s="30"/>
      <c r="F438" s="30"/>
      <c r="G438" s="31"/>
      <c r="H438" s="10"/>
    </row>
    <row r="439" ht="17.25" customHeight="1">
      <c r="A439" s="10"/>
      <c r="B439" s="29"/>
      <c r="C439" s="30"/>
      <c r="D439" s="30"/>
      <c r="E439" s="30"/>
      <c r="F439" s="30"/>
      <c r="G439" s="31"/>
      <c r="H439" s="10"/>
    </row>
    <row r="440" ht="17.25" customHeight="1">
      <c r="A440" s="10"/>
      <c r="B440" s="29"/>
      <c r="C440" s="30"/>
      <c r="D440" s="30"/>
      <c r="E440" s="30"/>
      <c r="F440" s="30"/>
      <c r="G440" s="31"/>
      <c r="H440" s="10"/>
    </row>
    <row r="441" ht="17.25" customHeight="1">
      <c r="A441" s="10"/>
      <c r="B441" s="29"/>
      <c r="C441" s="30"/>
      <c r="D441" s="30"/>
      <c r="E441" s="30"/>
      <c r="F441" s="30"/>
      <c r="G441" s="31"/>
      <c r="H441" s="10"/>
    </row>
    <row r="442" ht="17.25" customHeight="1">
      <c r="A442" s="10"/>
      <c r="B442" s="29"/>
      <c r="C442" s="30"/>
      <c r="D442" s="30"/>
      <c r="E442" s="30"/>
      <c r="F442" s="30"/>
      <c r="G442" s="31"/>
      <c r="H442" s="10"/>
    </row>
    <row r="443" ht="17.25" customHeight="1">
      <c r="A443" s="10"/>
      <c r="B443" s="29"/>
      <c r="C443" s="30"/>
      <c r="D443" s="30"/>
      <c r="E443" s="30"/>
      <c r="F443" s="30"/>
      <c r="G443" s="31"/>
      <c r="H443" s="10"/>
    </row>
    <row r="444" ht="17.25" customHeight="1">
      <c r="A444" s="10"/>
      <c r="B444" s="29"/>
      <c r="C444" s="30"/>
      <c r="D444" s="30"/>
      <c r="E444" s="30"/>
      <c r="F444" s="30"/>
      <c r="G444" s="31"/>
      <c r="H444" s="10"/>
    </row>
    <row r="445" ht="17.25" customHeight="1">
      <c r="A445" s="10"/>
      <c r="B445" s="29"/>
      <c r="C445" s="30"/>
      <c r="D445" s="30"/>
      <c r="E445" s="30"/>
      <c r="F445" s="30"/>
      <c r="G445" s="31"/>
      <c r="H445" s="10"/>
    </row>
    <row r="446" ht="17.25" customHeight="1">
      <c r="A446" s="10"/>
      <c r="B446" s="29"/>
      <c r="C446" s="30"/>
      <c r="D446" s="30"/>
      <c r="E446" s="30"/>
      <c r="F446" s="30"/>
      <c r="G446" s="31"/>
      <c r="H446" s="10"/>
    </row>
    <row r="447" ht="17.25" customHeight="1">
      <c r="A447" s="10"/>
      <c r="B447" s="29"/>
      <c r="C447" s="30"/>
      <c r="D447" s="30"/>
      <c r="E447" s="30"/>
      <c r="F447" s="30"/>
      <c r="G447" s="31"/>
      <c r="H447" s="10"/>
    </row>
    <row r="448" ht="17.25" customHeight="1">
      <c r="A448" s="10"/>
      <c r="B448" s="29"/>
      <c r="C448" s="30"/>
      <c r="D448" s="30"/>
      <c r="E448" s="30"/>
      <c r="F448" s="30"/>
      <c r="G448" s="31"/>
      <c r="H448" s="10"/>
    </row>
    <row r="449" ht="17.25" customHeight="1">
      <c r="A449" s="10"/>
      <c r="B449" s="29"/>
      <c r="C449" s="30"/>
      <c r="D449" s="30"/>
      <c r="E449" s="30"/>
      <c r="F449" s="30"/>
      <c r="G449" s="31"/>
      <c r="H449" s="10"/>
    </row>
    <row r="450" ht="17.25" customHeight="1">
      <c r="A450" s="10"/>
      <c r="B450" s="29"/>
      <c r="C450" s="30"/>
      <c r="D450" s="30"/>
      <c r="E450" s="30"/>
      <c r="F450" s="30"/>
      <c r="G450" s="31"/>
      <c r="H450" s="10"/>
    </row>
    <row r="451" ht="17.25" customHeight="1">
      <c r="A451" s="10"/>
      <c r="B451" s="29"/>
      <c r="C451" s="30"/>
      <c r="D451" s="30"/>
      <c r="E451" s="30"/>
      <c r="F451" s="30"/>
      <c r="G451" s="31"/>
      <c r="H451" s="10"/>
    </row>
    <row r="452" ht="17.25" customHeight="1">
      <c r="A452" s="10"/>
      <c r="B452" s="29"/>
      <c r="C452" s="30"/>
      <c r="D452" s="30"/>
      <c r="E452" s="30"/>
      <c r="F452" s="30"/>
      <c r="G452" s="31"/>
      <c r="H452" s="10"/>
    </row>
    <row r="453" ht="17.25" customHeight="1">
      <c r="A453" s="10"/>
      <c r="B453" s="29"/>
      <c r="C453" s="30"/>
      <c r="D453" s="30"/>
      <c r="E453" s="30"/>
      <c r="F453" s="30"/>
      <c r="G453" s="31"/>
      <c r="H453" s="10"/>
    </row>
    <row r="454" ht="17.25" customHeight="1">
      <c r="A454" s="10"/>
      <c r="B454" s="29"/>
      <c r="C454" s="30"/>
      <c r="D454" s="30"/>
      <c r="E454" s="30"/>
      <c r="F454" s="30"/>
      <c r="G454" s="31"/>
      <c r="H454" s="10"/>
    </row>
    <row r="455" ht="17.25" customHeight="1">
      <c r="A455" s="10"/>
      <c r="B455" s="29"/>
      <c r="C455" s="30"/>
      <c r="D455" s="30"/>
      <c r="E455" s="30"/>
      <c r="F455" s="30"/>
      <c r="G455" s="31"/>
      <c r="H455" s="10"/>
    </row>
    <row r="456" ht="17.25" customHeight="1">
      <c r="A456" s="10"/>
      <c r="B456" s="29"/>
      <c r="C456" s="30"/>
      <c r="D456" s="30"/>
      <c r="E456" s="30"/>
      <c r="F456" s="30"/>
      <c r="G456" s="31"/>
      <c r="H456" s="10"/>
    </row>
    <row r="457" ht="17.25" customHeight="1">
      <c r="A457" s="10"/>
      <c r="B457" s="29"/>
      <c r="C457" s="30"/>
      <c r="D457" s="30"/>
      <c r="E457" s="30"/>
      <c r="F457" s="30"/>
      <c r="G457" s="31"/>
      <c r="H457" s="10"/>
    </row>
    <row r="458" ht="17.25" customHeight="1">
      <c r="A458" s="10"/>
      <c r="B458" s="29"/>
      <c r="C458" s="30"/>
      <c r="D458" s="30"/>
      <c r="E458" s="30"/>
      <c r="F458" s="30"/>
      <c r="G458" s="31"/>
      <c r="H458" s="10"/>
    </row>
    <row r="459" ht="17.25" customHeight="1">
      <c r="A459" s="10"/>
      <c r="B459" s="29"/>
      <c r="C459" s="30"/>
      <c r="D459" s="30"/>
      <c r="E459" s="30"/>
      <c r="F459" s="30"/>
      <c r="G459" s="31"/>
      <c r="H459" s="10"/>
    </row>
    <row r="460" ht="17.25" customHeight="1">
      <c r="A460" s="10"/>
      <c r="B460" s="29"/>
      <c r="C460" s="30"/>
      <c r="D460" s="30"/>
      <c r="E460" s="30"/>
      <c r="F460" s="30"/>
      <c r="G460" s="31"/>
      <c r="H460" s="10"/>
    </row>
    <row r="461" ht="17.25" customHeight="1">
      <c r="A461" s="10"/>
      <c r="B461" s="29"/>
      <c r="C461" s="30"/>
      <c r="D461" s="30"/>
      <c r="E461" s="30"/>
      <c r="F461" s="30"/>
      <c r="G461" s="31"/>
      <c r="H461" s="10"/>
    </row>
    <row r="462" ht="17.25" customHeight="1">
      <c r="A462" s="10"/>
      <c r="B462" s="29"/>
      <c r="C462" s="30"/>
      <c r="D462" s="30"/>
      <c r="E462" s="30"/>
      <c r="F462" s="30"/>
      <c r="G462" s="31"/>
      <c r="H462" s="10"/>
    </row>
    <row r="463" ht="17.25" customHeight="1">
      <c r="A463" s="10"/>
      <c r="B463" s="29"/>
      <c r="C463" s="30"/>
      <c r="D463" s="30"/>
      <c r="E463" s="30"/>
      <c r="F463" s="30"/>
      <c r="G463" s="31"/>
      <c r="H463" s="10"/>
    </row>
    <row r="464" ht="17.25" customHeight="1">
      <c r="A464" s="10"/>
      <c r="B464" s="29"/>
      <c r="C464" s="30"/>
      <c r="D464" s="30"/>
      <c r="E464" s="30"/>
      <c r="F464" s="30"/>
      <c r="G464" s="31"/>
      <c r="H464" s="10"/>
    </row>
    <row r="465" ht="17.25" customHeight="1">
      <c r="A465" s="10"/>
      <c r="B465" s="29"/>
      <c r="C465" s="30"/>
      <c r="D465" s="30"/>
      <c r="E465" s="30"/>
      <c r="F465" s="30"/>
      <c r="G465" s="31"/>
      <c r="H465" s="10"/>
    </row>
    <row r="466" ht="17.25" customHeight="1">
      <c r="A466" s="10"/>
      <c r="B466" s="29"/>
      <c r="C466" s="30"/>
      <c r="D466" s="30"/>
      <c r="E466" s="30"/>
      <c r="F466" s="30"/>
      <c r="G466" s="31"/>
      <c r="H466" s="10"/>
    </row>
    <row r="467" ht="17.25" customHeight="1">
      <c r="A467" s="10"/>
      <c r="B467" s="29"/>
      <c r="C467" s="30"/>
      <c r="D467" s="30"/>
      <c r="E467" s="30"/>
      <c r="F467" s="30"/>
      <c r="G467" s="31"/>
      <c r="H467" s="10"/>
    </row>
    <row r="468" ht="17.25" customHeight="1">
      <c r="A468" s="10"/>
      <c r="B468" s="29"/>
      <c r="C468" s="30"/>
      <c r="D468" s="30"/>
      <c r="E468" s="30"/>
      <c r="F468" s="30"/>
      <c r="G468" s="31"/>
      <c r="H468" s="10"/>
    </row>
    <row r="469" ht="17.25" customHeight="1">
      <c r="A469" s="10"/>
      <c r="B469" s="29"/>
      <c r="C469" s="30"/>
      <c r="D469" s="30"/>
      <c r="E469" s="30"/>
      <c r="F469" s="30"/>
      <c r="G469" s="31"/>
      <c r="H469" s="10"/>
    </row>
    <row r="470" ht="17.25" customHeight="1">
      <c r="A470" s="10"/>
      <c r="B470" s="29"/>
      <c r="C470" s="30"/>
      <c r="D470" s="30"/>
      <c r="E470" s="30"/>
      <c r="F470" s="30"/>
      <c r="G470" s="31"/>
      <c r="H470" s="10"/>
    </row>
    <row r="471" ht="17.25" customHeight="1">
      <c r="A471" s="10"/>
      <c r="B471" s="29"/>
      <c r="C471" s="30"/>
      <c r="D471" s="30"/>
      <c r="E471" s="30"/>
      <c r="F471" s="30"/>
      <c r="G471" s="31"/>
      <c r="H471" s="10"/>
    </row>
    <row r="472" ht="17.25" customHeight="1">
      <c r="A472" s="10"/>
      <c r="B472" s="29"/>
      <c r="C472" s="30"/>
      <c r="D472" s="30"/>
      <c r="E472" s="30"/>
      <c r="F472" s="30"/>
      <c r="G472" s="31"/>
      <c r="H472" s="10"/>
    </row>
    <row r="473" ht="17.25" customHeight="1">
      <c r="A473" s="10"/>
      <c r="B473" s="29"/>
      <c r="C473" s="30"/>
      <c r="D473" s="30"/>
      <c r="E473" s="30"/>
      <c r="F473" s="30"/>
      <c r="G473" s="31"/>
      <c r="H473" s="10"/>
    </row>
    <row r="474" ht="17.25" customHeight="1">
      <c r="A474" s="10"/>
      <c r="B474" s="29"/>
      <c r="C474" s="30"/>
      <c r="D474" s="30"/>
      <c r="E474" s="30"/>
      <c r="F474" s="30"/>
      <c r="G474" s="31"/>
      <c r="H474" s="10"/>
    </row>
    <row r="475" ht="17.25" customHeight="1">
      <c r="A475" s="10"/>
      <c r="B475" s="29"/>
      <c r="C475" s="30"/>
      <c r="D475" s="30"/>
      <c r="E475" s="30"/>
      <c r="F475" s="30"/>
      <c r="G475" s="31"/>
      <c r="H475" s="10"/>
    </row>
    <row r="476" ht="17.25" customHeight="1">
      <c r="A476" s="10"/>
      <c r="B476" s="29"/>
      <c r="C476" s="30"/>
      <c r="D476" s="30"/>
      <c r="E476" s="30"/>
      <c r="F476" s="30"/>
      <c r="G476" s="31"/>
      <c r="H476" s="10"/>
    </row>
    <row r="477" ht="17.25" customHeight="1">
      <c r="A477" s="10"/>
      <c r="B477" s="29"/>
      <c r="C477" s="30"/>
      <c r="D477" s="30"/>
      <c r="E477" s="30"/>
      <c r="F477" s="30"/>
      <c r="G477" s="31"/>
      <c r="H477" s="10"/>
    </row>
    <row r="478" ht="17.25" customHeight="1">
      <c r="A478" s="10"/>
      <c r="B478" s="29"/>
      <c r="C478" s="30"/>
      <c r="D478" s="30"/>
      <c r="E478" s="30"/>
      <c r="F478" s="30"/>
      <c r="G478" s="31"/>
      <c r="H478" s="10"/>
    </row>
    <row r="479" ht="17.25" customHeight="1">
      <c r="A479" s="10"/>
      <c r="B479" s="29"/>
      <c r="C479" s="30"/>
      <c r="D479" s="30"/>
      <c r="E479" s="30"/>
      <c r="F479" s="30"/>
      <c r="G479" s="31"/>
      <c r="H479" s="10"/>
    </row>
    <row r="480" ht="17.25" customHeight="1">
      <c r="A480" s="10"/>
      <c r="B480" s="29"/>
      <c r="C480" s="30"/>
      <c r="D480" s="30"/>
      <c r="E480" s="30"/>
      <c r="F480" s="30"/>
      <c r="G480" s="31"/>
      <c r="H480" s="10"/>
    </row>
    <row r="481" ht="17.25" customHeight="1">
      <c r="A481" s="10"/>
      <c r="B481" s="29"/>
      <c r="C481" s="30"/>
      <c r="D481" s="30"/>
      <c r="E481" s="30"/>
      <c r="F481" s="30"/>
      <c r="G481" s="31"/>
      <c r="H481" s="10"/>
    </row>
    <row r="482" ht="17.25" customHeight="1">
      <c r="A482" s="10"/>
      <c r="B482" s="29"/>
      <c r="C482" s="30"/>
      <c r="D482" s="30"/>
      <c r="E482" s="30"/>
      <c r="F482" s="30"/>
      <c r="G482" s="31"/>
      <c r="H482" s="10"/>
    </row>
    <row r="483" ht="17.25" customHeight="1">
      <c r="A483" s="10"/>
      <c r="B483" s="29"/>
      <c r="C483" s="30"/>
      <c r="D483" s="30"/>
      <c r="E483" s="30"/>
      <c r="F483" s="30"/>
      <c r="G483" s="31"/>
      <c r="H483" s="10"/>
    </row>
    <row r="484" ht="17.25" customHeight="1">
      <c r="A484" s="10"/>
      <c r="B484" s="29"/>
      <c r="C484" s="30"/>
      <c r="D484" s="30"/>
      <c r="E484" s="30"/>
      <c r="F484" s="30"/>
      <c r="G484" s="31"/>
      <c r="H484" s="10"/>
    </row>
    <row r="485" ht="17.25" customHeight="1">
      <c r="A485" s="10"/>
      <c r="B485" s="29"/>
      <c r="C485" s="30"/>
      <c r="D485" s="30"/>
      <c r="E485" s="30"/>
      <c r="F485" s="30"/>
      <c r="G485" s="31"/>
      <c r="H485" s="10"/>
    </row>
    <row r="486" ht="17.25" customHeight="1">
      <c r="A486" s="10"/>
      <c r="B486" s="29"/>
      <c r="C486" s="30"/>
      <c r="D486" s="30"/>
      <c r="E486" s="30"/>
      <c r="F486" s="30"/>
      <c r="G486" s="31"/>
      <c r="H486" s="10"/>
    </row>
    <row r="487" ht="17.25" customHeight="1">
      <c r="A487" s="10"/>
      <c r="B487" s="29"/>
      <c r="C487" s="30"/>
      <c r="D487" s="30"/>
      <c r="E487" s="30"/>
      <c r="F487" s="30"/>
      <c r="G487" s="31"/>
      <c r="H487" s="10"/>
    </row>
    <row r="488" ht="17.25" customHeight="1">
      <c r="A488" s="10"/>
      <c r="B488" s="29"/>
      <c r="C488" s="30"/>
      <c r="D488" s="30"/>
      <c r="E488" s="30"/>
      <c r="F488" s="30"/>
      <c r="G488" s="31"/>
      <c r="H488" s="10"/>
    </row>
    <row r="489" ht="17.25" customHeight="1">
      <c r="A489" s="10"/>
      <c r="B489" s="29"/>
      <c r="C489" s="30"/>
      <c r="D489" s="30"/>
      <c r="E489" s="30"/>
      <c r="F489" s="30"/>
      <c r="G489" s="31"/>
      <c r="H489" s="10"/>
    </row>
    <row r="490" ht="17.25" customHeight="1">
      <c r="A490" s="10"/>
      <c r="B490" s="29"/>
      <c r="C490" s="30"/>
      <c r="D490" s="30"/>
      <c r="E490" s="30"/>
      <c r="F490" s="30"/>
      <c r="G490" s="31"/>
      <c r="H490" s="10"/>
    </row>
    <row r="491" ht="17.25" customHeight="1">
      <c r="A491" s="10"/>
      <c r="B491" s="29"/>
      <c r="C491" s="30"/>
      <c r="D491" s="30"/>
      <c r="E491" s="30"/>
      <c r="F491" s="30"/>
      <c r="G491" s="31"/>
      <c r="H491" s="10"/>
    </row>
    <row r="492" ht="17.25" customHeight="1">
      <c r="A492" s="10"/>
      <c r="B492" s="29"/>
      <c r="C492" s="30"/>
      <c r="D492" s="30"/>
      <c r="E492" s="30"/>
      <c r="F492" s="30"/>
      <c r="G492" s="31"/>
      <c r="H492" s="10"/>
    </row>
    <row r="493" ht="17.25" customHeight="1">
      <c r="A493" s="10"/>
      <c r="B493" s="29"/>
      <c r="C493" s="30"/>
      <c r="D493" s="30"/>
      <c r="E493" s="30"/>
      <c r="F493" s="30"/>
      <c r="G493" s="31"/>
      <c r="H493" s="10"/>
    </row>
    <row r="494" ht="17.25" customHeight="1">
      <c r="A494" s="10"/>
      <c r="B494" s="29"/>
      <c r="C494" s="30"/>
      <c r="D494" s="30"/>
      <c r="E494" s="30"/>
      <c r="F494" s="30"/>
      <c r="G494" s="31"/>
      <c r="H494" s="10"/>
    </row>
    <row r="495" ht="17.25" customHeight="1">
      <c r="A495" s="10"/>
      <c r="B495" s="29"/>
      <c r="C495" s="30"/>
      <c r="D495" s="30"/>
      <c r="E495" s="30"/>
      <c r="F495" s="30"/>
      <c r="G495" s="31"/>
      <c r="H495" s="10"/>
    </row>
    <row r="496" ht="17.25" customHeight="1">
      <c r="A496" s="10"/>
      <c r="B496" s="29"/>
      <c r="C496" s="30"/>
      <c r="D496" s="30"/>
      <c r="E496" s="30"/>
      <c r="F496" s="30"/>
      <c r="G496" s="31"/>
      <c r="H496" s="10"/>
    </row>
    <row r="497" ht="17.25" customHeight="1">
      <c r="A497" s="10"/>
      <c r="B497" s="29"/>
      <c r="C497" s="30"/>
      <c r="D497" s="30"/>
      <c r="E497" s="30"/>
      <c r="F497" s="30"/>
      <c r="G497" s="31"/>
      <c r="H497" s="10"/>
    </row>
    <row r="498" ht="17.25" customHeight="1">
      <c r="A498" s="10"/>
      <c r="B498" s="29"/>
      <c r="C498" s="30"/>
      <c r="D498" s="30"/>
      <c r="E498" s="30"/>
      <c r="F498" s="30"/>
      <c r="G498" s="31"/>
      <c r="H498" s="10"/>
    </row>
    <row r="499" ht="17.25" customHeight="1">
      <c r="A499" s="10"/>
      <c r="B499" s="29"/>
      <c r="C499" s="30"/>
      <c r="D499" s="30"/>
      <c r="E499" s="30"/>
      <c r="F499" s="30"/>
      <c r="G499" s="31"/>
      <c r="H499" s="10"/>
    </row>
    <row r="500" ht="17.25" customHeight="1">
      <c r="A500" s="10"/>
      <c r="B500" s="29"/>
      <c r="C500" s="30"/>
      <c r="D500" s="30"/>
      <c r="E500" s="30"/>
      <c r="F500" s="30"/>
      <c r="G500" s="31"/>
      <c r="H500" s="10"/>
    </row>
    <row r="501" ht="17.25" customHeight="1">
      <c r="A501" s="10"/>
      <c r="B501" s="29"/>
      <c r="C501" s="30"/>
      <c r="D501" s="30"/>
      <c r="E501" s="30"/>
      <c r="F501" s="30"/>
      <c r="G501" s="31"/>
      <c r="H501" s="10"/>
    </row>
    <row r="502" ht="17.25" customHeight="1">
      <c r="A502" s="10"/>
      <c r="B502" s="29"/>
      <c r="C502" s="30"/>
      <c r="D502" s="30"/>
      <c r="E502" s="30"/>
      <c r="F502" s="30"/>
      <c r="G502" s="31"/>
      <c r="H502" s="10"/>
    </row>
    <row r="503" ht="17.25" customHeight="1">
      <c r="A503" s="10"/>
      <c r="B503" s="29"/>
      <c r="C503" s="30"/>
      <c r="D503" s="30"/>
      <c r="E503" s="30"/>
      <c r="F503" s="30"/>
      <c r="G503" s="31"/>
      <c r="H503" s="10"/>
    </row>
    <row r="504" ht="17.25" customHeight="1">
      <c r="A504" s="10"/>
      <c r="B504" s="29"/>
      <c r="C504" s="30"/>
      <c r="D504" s="30"/>
      <c r="E504" s="30"/>
      <c r="F504" s="30"/>
      <c r="G504" s="31"/>
      <c r="H504" s="10"/>
    </row>
    <row r="505" ht="17.25" customHeight="1">
      <c r="A505" s="10"/>
      <c r="B505" s="29"/>
      <c r="C505" s="30"/>
      <c r="D505" s="30"/>
      <c r="E505" s="30"/>
      <c r="F505" s="30"/>
      <c r="G505" s="31"/>
      <c r="H505" s="10"/>
    </row>
    <row r="506" ht="17.25" customHeight="1">
      <c r="A506" s="10"/>
      <c r="B506" s="29"/>
      <c r="C506" s="30"/>
      <c r="D506" s="30"/>
      <c r="E506" s="30"/>
      <c r="F506" s="30"/>
      <c r="G506" s="31"/>
      <c r="H506" s="10"/>
    </row>
    <row r="507" ht="17.25" customHeight="1">
      <c r="A507" s="10"/>
      <c r="B507" s="29"/>
      <c r="C507" s="30"/>
      <c r="D507" s="30"/>
      <c r="E507" s="30"/>
      <c r="F507" s="30"/>
      <c r="G507" s="31"/>
      <c r="H507" s="10"/>
    </row>
    <row r="508" ht="17.25" customHeight="1">
      <c r="A508" s="10"/>
      <c r="B508" s="29"/>
      <c r="C508" s="30"/>
      <c r="D508" s="30"/>
      <c r="E508" s="30"/>
      <c r="F508" s="30"/>
      <c r="G508" s="31"/>
      <c r="H508" s="10"/>
    </row>
    <row r="509" ht="17.25" customHeight="1">
      <c r="A509" s="10"/>
      <c r="B509" s="29"/>
      <c r="C509" s="30"/>
      <c r="D509" s="30"/>
      <c r="E509" s="30"/>
      <c r="F509" s="30"/>
      <c r="G509" s="31"/>
      <c r="H509" s="10"/>
    </row>
    <row r="510" ht="17.25" customHeight="1">
      <c r="A510" s="10"/>
      <c r="B510" s="29"/>
      <c r="C510" s="30"/>
      <c r="D510" s="30"/>
      <c r="E510" s="30"/>
      <c r="F510" s="30"/>
      <c r="G510" s="31"/>
      <c r="H510" s="10"/>
    </row>
    <row r="511" ht="17.25" customHeight="1">
      <c r="A511" s="10"/>
      <c r="B511" s="29"/>
      <c r="C511" s="30"/>
      <c r="D511" s="30"/>
      <c r="E511" s="30"/>
      <c r="F511" s="30"/>
      <c r="G511" s="31"/>
      <c r="H511" s="10"/>
    </row>
    <row r="512" ht="17.25" customHeight="1">
      <c r="A512" s="10"/>
      <c r="B512" s="29"/>
      <c r="C512" s="30"/>
      <c r="D512" s="30"/>
      <c r="E512" s="30"/>
      <c r="F512" s="30"/>
      <c r="G512" s="31"/>
      <c r="H512" s="10"/>
    </row>
    <row r="513" ht="17.25" customHeight="1">
      <c r="A513" s="10"/>
      <c r="B513" s="29"/>
      <c r="C513" s="30"/>
      <c r="D513" s="30"/>
      <c r="E513" s="30"/>
      <c r="F513" s="30"/>
      <c r="G513" s="31"/>
      <c r="H513" s="10"/>
    </row>
    <row r="514" ht="17.25" customHeight="1">
      <c r="A514" s="10"/>
      <c r="B514" s="29"/>
      <c r="C514" s="30"/>
      <c r="D514" s="30"/>
      <c r="E514" s="30"/>
      <c r="F514" s="30"/>
      <c r="G514" s="31"/>
      <c r="H514" s="10"/>
    </row>
    <row r="515" ht="17.25" customHeight="1">
      <c r="A515" s="10"/>
      <c r="B515" s="29"/>
      <c r="C515" s="30"/>
      <c r="D515" s="30"/>
      <c r="E515" s="30"/>
      <c r="F515" s="30"/>
      <c r="G515" s="31"/>
      <c r="H515" s="10"/>
    </row>
    <row r="516" ht="17.25" customHeight="1">
      <c r="A516" s="10"/>
      <c r="B516" s="29"/>
      <c r="C516" s="30"/>
      <c r="D516" s="30"/>
      <c r="E516" s="30"/>
      <c r="F516" s="30"/>
      <c r="G516" s="31"/>
      <c r="H516" s="10"/>
    </row>
    <row r="517" ht="17.25" customHeight="1">
      <c r="A517" s="10"/>
      <c r="B517" s="29"/>
      <c r="C517" s="30"/>
      <c r="D517" s="30"/>
      <c r="E517" s="30"/>
      <c r="F517" s="30"/>
      <c r="G517" s="31"/>
      <c r="H517" s="10"/>
    </row>
    <row r="518" ht="17.25" customHeight="1">
      <c r="A518" s="10"/>
      <c r="B518" s="29"/>
      <c r="C518" s="30"/>
      <c r="D518" s="30"/>
      <c r="E518" s="30"/>
      <c r="F518" s="30"/>
      <c r="G518" s="31"/>
      <c r="H518" s="10"/>
    </row>
    <row r="519" ht="17.25" customHeight="1">
      <c r="A519" s="10"/>
      <c r="B519" s="29"/>
      <c r="C519" s="30"/>
      <c r="D519" s="30"/>
      <c r="E519" s="30"/>
      <c r="F519" s="30"/>
      <c r="G519" s="31"/>
      <c r="H519" s="10"/>
    </row>
    <row r="520" ht="17.25" customHeight="1">
      <c r="A520" s="10"/>
      <c r="B520" s="29"/>
      <c r="C520" s="30"/>
      <c r="D520" s="30"/>
      <c r="E520" s="30"/>
      <c r="F520" s="30"/>
      <c r="G520" s="31"/>
      <c r="H520" s="10"/>
    </row>
    <row r="521" ht="17.25" customHeight="1">
      <c r="A521" s="10"/>
      <c r="B521" s="29"/>
      <c r="C521" s="30"/>
      <c r="D521" s="30"/>
      <c r="E521" s="30"/>
      <c r="F521" s="30"/>
      <c r="G521" s="31"/>
      <c r="H521" s="10"/>
    </row>
    <row r="522" ht="17.25" customHeight="1">
      <c r="A522" s="10"/>
      <c r="B522" s="29"/>
      <c r="C522" s="30"/>
      <c r="D522" s="30"/>
      <c r="E522" s="30"/>
      <c r="F522" s="30"/>
      <c r="G522" s="31"/>
      <c r="H522" s="10"/>
    </row>
    <row r="523" ht="17.25" customHeight="1">
      <c r="A523" s="10"/>
      <c r="B523" s="29"/>
      <c r="C523" s="30"/>
      <c r="D523" s="30"/>
      <c r="E523" s="30"/>
      <c r="F523" s="30"/>
      <c r="G523" s="31"/>
      <c r="H523" s="10"/>
    </row>
    <row r="524" ht="17.25" customHeight="1">
      <c r="A524" s="10"/>
      <c r="B524" s="29"/>
      <c r="C524" s="30"/>
      <c r="D524" s="30"/>
      <c r="E524" s="30"/>
      <c r="F524" s="30"/>
      <c r="G524" s="31"/>
      <c r="H524" s="10"/>
    </row>
    <row r="525" ht="17.25" customHeight="1">
      <c r="A525" s="10"/>
      <c r="B525" s="29"/>
      <c r="C525" s="30"/>
      <c r="D525" s="30"/>
      <c r="E525" s="30"/>
      <c r="F525" s="30"/>
      <c r="G525" s="31"/>
      <c r="H525" s="10"/>
    </row>
    <row r="526" ht="17.25" customHeight="1">
      <c r="A526" s="10"/>
      <c r="B526" s="29"/>
      <c r="C526" s="30"/>
      <c r="D526" s="30"/>
      <c r="E526" s="30"/>
      <c r="F526" s="30"/>
      <c r="G526" s="31"/>
      <c r="H526" s="10"/>
    </row>
    <row r="527" ht="17.25" customHeight="1">
      <c r="A527" s="10"/>
      <c r="B527" s="29"/>
      <c r="C527" s="30"/>
      <c r="D527" s="30"/>
      <c r="E527" s="30"/>
      <c r="F527" s="30"/>
      <c r="G527" s="31"/>
      <c r="H527" s="10"/>
    </row>
    <row r="528" ht="17.25" customHeight="1">
      <c r="A528" s="10"/>
      <c r="B528" s="29"/>
      <c r="C528" s="30"/>
      <c r="D528" s="30"/>
      <c r="E528" s="30"/>
      <c r="F528" s="30"/>
      <c r="G528" s="31"/>
      <c r="H528" s="10"/>
    </row>
    <row r="529" ht="17.25" customHeight="1">
      <c r="A529" s="10"/>
      <c r="B529" s="29"/>
      <c r="C529" s="30"/>
      <c r="D529" s="30"/>
      <c r="E529" s="30"/>
      <c r="F529" s="30"/>
      <c r="G529" s="31"/>
      <c r="H529" s="10"/>
    </row>
    <row r="530" ht="17.25" customHeight="1">
      <c r="A530" s="10"/>
      <c r="B530" s="29"/>
      <c r="C530" s="30"/>
      <c r="D530" s="30"/>
      <c r="E530" s="30"/>
      <c r="F530" s="30"/>
      <c r="G530" s="31"/>
      <c r="H530" s="10"/>
    </row>
    <row r="531" ht="17.25" customHeight="1">
      <c r="A531" s="10"/>
      <c r="B531" s="29"/>
      <c r="C531" s="30"/>
      <c r="D531" s="30"/>
      <c r="E531" s="30"/>
      <c r="F531" s="30"/>
      <c r="G531" s="31"/>
      <c r="H531" s="10"/>
    </row>
    <row r="532" ht="17.25" customHeight="1">
      <c r="A532" s="10"/>
      <c r="B532" s="29"/>
      <c r="C532" s="30"/>
      <c r="D532" s="30"/>
      <c r="E532" s="30"/>
      <c r="F532" s="30"/>
      <c r="G532" s="31"/>
      <c r="H532" s="10"/>
    </row>
    <row r="533" ht="17.25" customHeight="1">
      <c r="A533" s="10"/>
      <c r="B533" s="29"/>
      <c r="C533" s="30"/>
      <c r="D533" s="30"/>
      <c r="E533" s="30"/>
      <c r="F533" s="30"/>
      <c r="G533" s="31"/>
      <c r="H533" s="10"/>
    </row>
    <row r="534" ht="17.25" customHeight="1">
      <c r="A534" s="10"/>
      <c r="B534" s="29"/>
      <c r="C534" s="30"/>
      <c r="D534" s="30"/>
      <c r="E534" s="30"/>
      <c r="F534" s="30"/>
      <c r="G534" s="31"/>
      <c r="H534" s="10"/>
    </row>
    <row r="535" ht="17.25" customHeight="1">
      <c r="A535" s="10"/>
      <c r="B535" s="29"/>
      <c r="C535" s="30"/>
      <c r="D535" s="30"/>
      <c r="E535" s="30"/>
      <c r="F535" s="30"/>
      <c r="G535" s="31"/>
      <c r="H535" s="10"/>
    </row>
    <row r="536" ht="17.25" customHeight="1">
      <c r="A536" s="10"/>
      <c r="B536" s="29"/>
      <c r="C536" s="30"/>
      <c r="D536" s="30"/>
      <c r="E536" s="30"/>
      <c r="F536" s="30"/>
      <c r="G536" s="31"/>
      <c r="H536" s="10"/>
    </row>
    <row r="537" ht="17.25" customHeight="1">
      <c r="A537" s="10"/>
      <c r="B537" s="29"/>
      <c r="C537" s="30"/>
      <c r="D537" s="30"/>
      <c r="E537" s="30"/>
      <c r="F537" s="30"/>
      <c r="G537" s="31"/>
      <c r="H537" s="10"/>
    </row>
    <row r="538" ht="17.25" customHeight="1">
      <c r="A538" s="10"/>
      <c r="B538" s="29"/>
      <c r="C538" s="30"/>
      <c r="D538" s="30"/>
      <c r="E538" s="30"/>
      <c r="F538" s="30"/>
      <c r="G538" s="31"/>
      <c r="H538" s="10"/>
    </row>
    <row r="539" ht="17.25" customHeight="1">
      <c r="A539" s="10"/>
      <c r="B539" s="29"/>
      <c r="C539" s="30"/>
      <c r="D539" s="30"/>
      <c r="E539" s="30"/>
      <c r="F539" s="30"/>
      <c r="G539" s="31"/>
      <c r="H539" s="10"/>
    </row>
    <row r="540" ht="17.25" customHeight="1">
      <c r="A540" s="10"/>
      <c r="B540" s="29"/>
      <c r="C540" s="30"/>
      <c r="D540" s="30"/>
      <c r="E540" s="30"/>
      <c r="F540" s="30"/>
      <c r="G540" s="31"/>
      <c r="H540" s="10"/>
    </row>
    <row r="541" ht="17.25" customHeight="1">
      <c r="A541" s="10"/>
      <c r="B541" s="29"/>
      <c r="C541" s="30"/>
      <c r="D541" s="30"/>
      <c r="E541" s="30"/>
      <c r="F541" s="30"/>
      <c r="G541" s="31"/>
      <c r="H541" s="10"/>
    </row>
    <row r="542" ht="17.25" customHeight="1">
      <c r="A542" s="10"/>
      <c r="B542" s="29"/>
      <c r="C542" s="30"/>
      <c r="D542" s="30"/>
      <c r="E542" s="30"/>
      <c r="F542" s="30"/>
      <c r="G542" s="31"/>
      <c r="H542" s="10"/>
    </row>
    <row r="543" ht="17.25" customHeight="1">
      <c r="A543" s="10"/>
      <c r="B543" s="29"/>
      <c r="C543" s="30"/>
      <c r="D543" s="30"/>
      <c r="E543" s="30"/>
      <c r="F543" s="30"/>
      <c r="G543" s="31"/>
      <c r="H543" s="10"/>
    </row>
    <row r="544" ht="17.25" customHeight="1">
      <c r="A544" s="10"/>
      <c r="B544" s="29"/>
      <c r="C544" s="30"/>
      <c r="D544" s="30"/>
      <c r="E544" s="30"/>
      <c r="F544" s="30"/>
      <c r="G544" s="31"/>
      <c r="H544" s="10"/>
    </row>
    <row r="545" ht="17.25" customHeight="1">
      <c r="A545" s="10"/>
      <c r="B545" s="29"/>
      <c r="C545" s="30"/>
      <c r="D545" s="30"/>
      <c r="E545" s="30"/>
      <c r="F545" s="30"/>
      <c r="G545" s="31"/>
      <c r="H545" s="10"/>
    </row>
    <row r="546" ht="17.25" customHeight="1">
      <c r="A546" s="10"/>
      <c r="B546" s="29"/>
      <c r="C546" s="30"/>
      <c r="D546" s="30"/>
      <c r="E546" s="30"/>
      <c r="F546" s="30"/>
      <c r="G546" s="31"/>
      <c r="H546" s="10"/>
    </row>
    <row r="547" ht="17.25" customHeight="1">
      <c r="A547" s="10"/>
      <c r="B547" s="29"/>
      <c r="C547" s="30"/>
      <c r="D547" s="30"/>
      <c r="E547" s="30"/>
      <c r="F547" s="30"/>
      <c r="G547" s="31"/>
      <c r="H547" s="10"/>
    </row>
    <row r="548" ht="17.25" customHeight="1">
      <c r="A548" s="10"/>
      <c r="B548" s="29"/>
      <c r="C548" s="30"/>
      <c r="D548" s="30"/>
      <c r="E548" s="30"/>
      <c r="F548" s="30"/>
      <c r="G548" s="31"/>
      <c r="H548" s="10"/>
    </row>
    <row r="549" ht="17.25" customHeight="1">
      <c r="A549" s="10"/>
      <c r="B549" s="29"/>
      <c r="C549" s="30"/>
      <c r="D549" s="30"/>
      <c r="E549" s="30"/>
      <c r="F549" s="30"/>
      <c r="G549" s="31"/>
      <c r="H549" s="10"/>
    </row>
    <row r="550" ht="17.25" customHeight="1">
      <c r="A550" s="10"/>
      <c r="B550" s="29"/>
      <c r="C550" s="30"/>
      <c r="D550" s="30"/>
      <c r="E550" s="30"/>
      <c r="F550" s="30"/>
      <c r="G550" s="31"/>
      <c r="H550" s="10"/>
    </row>
    <row r="551" ht="17.25" customHeight="1">
      <c r="A551" s="10"/>
      <c r="B551" s="29"/>
      <c r="C551" s="30"/>
      <c r="D551" s="30"/>
      <c r="E551" s="30"/>
      <c r="F551" s="30"/>
      <c r="G551" s="31"/>
      <c r="H551" s="10"/>
    </row>
    <row r="552" ht="17.25" customHeight="1">
      <c r="A552" s="10"/>
      <c r="B552" s="29"/>
      <c r="C552" s="30"/>
      <c r="D552" s="30"/>
      <c r="E552" s="30"/>
      <c r="F552" s="30"/>
      <c r="G552" s="31"/>
      <c r="H552" s="10"/>
    </row>
    <row r="553" ht="17.25" customHeight="1">
      <c r="A553" s="10"/>
      <c r="B553" s="29"/>
      <c r="C553" s="30"/>
      <c r="D553" s="30"/>
      <c r="E553" s="30"/>
      <c r="F553" s="30"/>
      <c r="G553" s="31"/>
      <c r="H553" s="10"/>
    </row>
    <row r="554" ht="17.25" customHeight="1">
      <c r="A554" s="10"/>
      <c r="B554" s="29"/>
      <c r="C554" s="30"/>
      <c r="D554" s="30"/>
      <c r="E554" s="30"/>
      <c r="F554" s="30"/>
      <c r="G554" s="31"/>
      <c r="H554" s="10"/>
    </row>
    <row r="555" ht="17.25" customHeight="1">
      <c r="A555" s="10"/>
      <c r="B555" s="29"/>
      <c r="C555" s="30"/>
      <c r="D555" s="30"/>
      <c r="E555" s="30"/>
      <c r="F555" s="30"/>
      <c r="G555" s="31"/>
      <c r="H555" s="10"/>
    </row>
    <row r="556" ht="17.25" customHeight="1">
      <c r="A556" s="10"/>
      <c r="B556" s="29"/>
      <c r="C556" s="30"/>
      <c r="D556" s="30"/>
      <c r="E556" s="30"/>
      <c r="F556" s="30"/>
      <c r="G556" s="31"/>
      <c r="H556" s="10"/>
    </row>
    <row r="557" ht="17.25" customHeight="1">
      <c r="A557" s="10"/>
      <c r="B557" s="29"/>
      <c r="C557" s="30"/>
      <c r="D557" s="30"/>
      <c r="E557" s="30"/>
      <c r="F557" s="30"/>
      <c r="G557" s="31"/>
      <c r="H557" s="10"/>
    </row>
    <row r="558" ht="17.25" customHeight="1">
      <c r="A558" s="10"/>
      <c r="B558" s="29"/>
      <c r="C558" s="30"/>
      <c r="D558" s="30"/>
      <c r="E558" s="30"/>
      <c r="F558" s="30"/>
      <c r="G558" s="31"/>
      <c r="H558" s="10"/>
    </row>
    <row r="559" ht="17.25" customHeight="1">
      <c r="A559" s="10"/>
      <c r="B559" s="29"/>
      <c r="C559" s="30"/>
      <c r="D559" s="30"/>
      <c r="E559" s="30"/>
      <c r="F559" s="30"/>
      <c r="G559" s="31"/>
      <c r="H559" s="10"/>
    </row>
    <row r="560" ht="17.25" customHeight="1">
      <c r="A560" s="10"/>
      <c r="B560" s="29"/>
      <c r="C560" s="30"/>
      <c r="D560" s="30"/>
      <c r="E560" s="30"/>
      <c r="F560" s="30"/>
      <c r="G560" s="31"/>
      <c r="H560" s="10"/>
    </row>
    <row r="561" ht="17.25" customHeight="1">
      <c r="A561" s="10"/>
      <c r="B561" s="29"/>
      <c r="C561" s="30"/>
      <c r="D561" s="30"/>
      <c r="E561" s="30"/>
      <c r="F561" s="30"/>
      <c r="G561" s="31"/>
      <c r="H561" s="10"/>
    </row>
    <row r="562" ht="17.25" customHeight="1">
      <c r="A562" s="10"/>
      <c r="B562" s="29"/>
      <c r="C562" s="30"/>
      <c r="D562" s="30"/>
      <c r="E562" s="30"/>
      <c r="F562" s="30"/>
      <c r="G562" s="31"/>
      <c r="H562" s="10"/>
    </row>
    <row r="563" ht="17.25" customHeight="1">
      <c r="A563" s="10"/>
      <c r="B563" s="29"/>
      <c r="C563" s="30"/>
      <c r="D563" s="30"/>
      <c r="E563" s="30"/>
      <c r="F563" s="30"/>
      <c r="G563" s="31"/>
      <c r="H563" s="10"/>
    </row>
    <row r="564" ht="17.25" customHeight="1">
      <c r="A564" s="10"/>
      <c r="B564" s="29"/>
      <c r="C564" s="30"/>
      <c r="D564" s="30"/>
      <c r="E564" s="30"/>
      <c r="F564" s="30"/>
      <c r="G564" s="31"/>
      <c r="H564" s="10"/>
    </row>
    <row r="565" ht="17.25" customHeight="1">
      <c r="A565" s="10"/>
      <c r="B565" s="29"/>
      <c r="C565" s="30"/>
      <c r="D565" s="30"/>
      <c r="E565" s="30"/>
      <c r="F565" s="30"/>
      <c r="G565" s="31"/>
      <c r="H565" s="10"/>
    </row>
    <row r="566" ht="17.25" customHeight="1">
      <c r="A566" s="10"/>
      <c r="B566" s="29"/>
      <c r="C566" s="30"/>
      <c r="D566" s="30"/>
      <c r="E566" s="30"/>
      <c r="F566" s="30"/>
      <c r="G566" s="31"/>
      <c r="H566" s="10"/>
    </row>
    <row r="567" ht="17.25" customHeight="1">
      <c r="A567" s="10"/>
      <c r="B567" s="29"/>
      <c r="C567" s="30"/>
      <c r="D567" s="30"/>
      <c r="E567" s="30"/>
      <c r="F567" s="30"/>
      <c r="G567" s="31"/>
      <c r="H567" s="10"/>
    </row>
    <row r="568" ht="17.25" customHeight="1">
      <c r="A568" s="10"/>
      <c r="B568" s="29"/>
      <c r="C568" s="30"/>
      <c r="D568" s="30"/>
      <c r="E568" s="30"/>
      <c r="F568" s="30"/>
      <c r="G568" s="31"/>
      <c r="H568" s="10"/>
    </row>
    <row r="569" ht="17.25" customHeight="1">
      <c r="A569" s="10"/>
      <c r="B569" s="29"/>
      <c r="C569" s="30"/>
      <c r="D569" s="30"/>
      <c r="E569" s="30"/>
      <c r="F569" s="30"/>
      <c r="G569" s="31"/>
      <c r="H569" s="10"/>
    </row>
    <row r="570" ht="17.25" customHeight="1">
      <c r="A570" s="10"/>
      <c r="B570" s="29"/>
      <c r="C570" s="30"/>
      <c r="D570" s="30"/>
      <c r="E570" s="30"/>
      <c r="F570" s="30"/>
      <c r="G570" s="31"/>
      <c r="H570" s="10"/>
    </row>
    <row r="571" ht="17.25" customHeight="1">
      <c r="A571" s="10"/>
      <c r="B571" s="29"/>
      <c r="C571" s="30"/>
      <c r="D571" s="30"/>
      <c r="E571" s="30"/>
      <c r="F571" s="30"/>
      <c r="G571" s="31"/>
      <c r="H571" s="10"/>
    </row>
    <row r="572" ht="17.25" customHeight="1">
      <c r="A572" s="10"/>
      <c r="B572" s="29"/>
      <c r="C572" s="30"/>
      <c r="D572" s="30"/>
      <c r="E572" s="30"/>
      <c r="F572" s="30"/>
      <c r="G572" s="31"/>
      <c r="H572" s="10"/>
    </row>
    <row r="573" ht="17.25" customHeight="1">
      <c r="A573" s="10"/>
      <c r="B573" s="29"/>
      <c r="C573" s="30"/>
      <c r="D573" s="30"/>
      <c r="E573" s="30"/>
      <c r="F573" s="30"/>
      <c r="G573" s="31"/>
      <c r="H573" s="10"/>
    </row>
    <row r="574" ht="17.25" customHeight="1">
      <c r="A574" s="10"/>
      <c r="B574" s="29"/>
      <c r="C574" s="30"/>
      <c r="D574" s="30"/>
      <c r="E574" s="30"/>
      <c r="F574" s="30"/>
      <c r="G574" s="31"/>
      <c r="H574" s="10"/>
    </row>
    <row r="575" ht="17.25" customHeight="1">
      <c r="A575" s="10"/>
      <c r="B575" s="29"/>
      <c r="C575" s="30"/>
      <c r="D575" s="30"/>
      <c r="E575" s="30"/>
      <c r="F575" s="30"/>
      <c r="G575" s="31"/>
      <c r="H575" s="10"/>
    </row>
    <row r="576" ht="17.25" customHeight="1">
      <c r="A576" s="10"/>
      <c r="B576" s="29"/>
      <c r="C576" s="30"/>
      <c r="D576" s="30"/>
      <c r="E576" s="30"/>
      <c r="F576" s="30"/>
      <c r="G576" s="31"/>
      <c r="H576" s="10"/>
    </row>
    <row r="577" ht="17.25" customHeight="1">
      <c r="A577" s="10"/>
      <c r="B577" s="29"/>
      <c r="C577" s="30"/>
      <c r="D577" s="30"/>
      <c r="E577" s="30"/>
      <c r="F577" s="30"/>
      <c r="G577" s="31"/>
      <c r="H577" s="10"/>
    </row>
    <row r="578" ht="17.25" customHeight="1">
      <c r="A578" s="10"/>
      <c r="B578" s="29"/>
      <c r="C578" s="30"/>
      <c r="D578" s="30"/>
      <c r="E578" s="30"/>
      <c r="F578" s="30"/>
      <c r="G578" s="31"/>
      <c r="H578" s="10"/>
    </row>
    <row r="579" ht="17.25" customHeight="1">
      <c r="A579" s="10"/>
      <c r="B579" s="29"/>
      <c r="C579" s="30"/>
      <c r="D579" s="30"/>
      <c r="E579" s="30"/>
      <c r="F579" s="30"/>
      <c r="G579" s="31"/>
      <c r="H579" s="10"/>
    </row>
    <row r="580" ht="17.25" customHeight="1">
      <c r="A580" s="10"/>
      <c r="B580" s="29"/>
      <c r="C580" s="30"/>
      <c r="D580" s="30"/>
      <c r="E580" s="30"/>
      <c r="F580" s="30"/>
      <c r="G580" s="31"/>
      <c r="H580" s="10"/>
    </row>
    <row r="581" ht="17.25" customHeight="1">
      <c r="A581" s="10"/>
      <c r="B581" s="29"/>
      <c r="C581" s="30"/>
      <c r="D581" s="30"/>
      <c r="E581" s="30"/>
      <c r="F581" s="30"/>
      <c r="G581" s="31"/>
      <c r="H581" s="10"/>
    </row>
    <row r="582" ht="17.25" customHeight="1">
      <c r="A582" s="10"/>
      <c r="B582" s="29"/>
      <c r="C582" s="30"/>
      <c r="D582" s="30"/>
      <c r="E582" s="30"/>
      <c r="F582" s="30"/>
      <c r="G582" s="31"/>
      <c r="H582" s="10"/>
    </row>
    <row r="583" ht="17.25" customHeight="1">
      <c r="A583" s="10"/>
      <c r="B583" s="29"/>
      <c r="C583" s="30"/>
      <c r="D583" s="30"/>
      <c r="E583" s="30"/>
      <c r="F583" s="30"/>
      <c r="G583" s="31"/>
      <c r="H583" s="10"/>
    </row>
    <row r="584" ht="17.25" customHeight="1">
      <c r="A584" s="10"/>
      <c r="B584" s="29"/>
      <c r="C584" s="30"/>
      <c r="D584" s="30"/>
      <c r="E584" s="30"/>
      <c r="F584" s="30"/>
      <c r="G584" s="31"/>
      <c r="H584" s="10"/>
    </row>
    <row r="585" ht="17.25" customHeight="1">
      <c r="A585" s="10"/>
      <c r="B585" s="29"/>
      <c r="C585" s="30"/>
      <c r="D585" s="30"/>
      <c r="E585" s="30"/>
      <c r="F585" s="30"/>
      <c r="G585" s="31"/>
      <c r="H585" s="10"/>
    </row>
    <row r="586" ht="17.25" customHeight="1">
      <c r="A586" s="10"/>
      <c r="B586" s="29"/>
      <c r="C586" s="30"/>
      <c r="D586" s="30"/>
      <c r="E586" s="30"/>
      <c r="F586" s="30"/>
      <c r="G586" s="31"/>
      <c r="H586" s="10"/>
    </row>
    <row r="587" ht="17.25" customHeight="1">
      <c r="A587" s="10"/>
      <c r="B587" s="29"/>
      <c r="C587" s="30"/>
      <c r="D587" s="30"/>
      <c r="E587" s="30"/>
      <c r="F587" s="30"/>
      <c r="G587" s="31"/>
      <c r="H587" s="10"/>
    </row>
    <row r="588" ht="17.25" customHeight="1">
      <c r="A588" s="10"/>
      <c r="B588" s="29"/>
      <c r="C588" s="30"/>
      <c r="D588" s="30"/>
      <c r="E588" s="30"/>
      <c r="F588" s="30"/>
      <c r="G588" s="31"/>
      <c r="H588" s="10"/>
    </row>
    <row r="589" ht="17.25" customHeight="1">
      <c r="A589" s="10"/>
      <c r="B589" s="29"/>
      <c r="C589" s="30"/>
      <c r="D589" s="30"/>
      <c r="E589" s="30"/>
      <c r="F589" s="30"/>
      <c r="G589" s="31"/>
      <c r="H589" s="10"/>
    </row>
    <row r="590" ht="17.25" customHeight="1">
      <c r="A590" s="10"/>
      <c r="B590" s="29"/>
      <c r="C590" s="30"/>
      <c r="D590" s="30"/>
      <c r="E590" s="30"/>
      <c r="F590" s="30"/>
      <c r="G590" s="31"/>
      <c r="H590" s="10"/>
    </row>
    <row r="591" ht="17.25" customHeight="1">
      <c r="A591" s="10"/>
      <c r="B591" s="29"/>
      <c r="C591" s="30"/>
      <c r="D591" s="30"/>
      <c r="E591" s="30"/>
      <c r="F591" s="30"/>
      <c r="G591" s="31"/>
      <c r="H591" s="10"/>
    </row>
    <row r="592" ht="17.25" customHeight="1">
      <c r="A592" s="10"/>
      <c r="B592" s="29"/>
      <c r="C592" s="30"/>
      <c r="D592" s="30"/>
      <c r="E592" s="30"/>
      <c r="F592" s="30"/>
      <c r="G592" s="31"/>
      <c r="H592" s="10"/>
    </row>
    <row r="593" ht="17.25" customHeight="1">
      <c r="A593" s="10"/>
      <c r="B593" s="29"/>
      <c r="C593" s="30"/>
      <c r="D593" s="30"/>
      <c r="E593" s="30"/>
      <c r="F593" s="30"/>
      <c r="G593" s="31"/>
      <c r="H593" s="10"/>
    </row>
    <row r="594" ht="17.25" customHeight="1">
      <c r="A594" s="10"/>
      <c r="B594" s="29"/>
      <c r="C594" s="30"/>
      <c r="D594" s="30"/>
      <c r="E594" s="30"/>
      <c r="F594" s="30"/>
      <c r="G594" s="31"/>
      <c r="H594" s="10"/>
    </row>
    <row r="595" ht="17.25" customHeight="1">
      <c r="A595" s="10"/>
      <c r="B595" s="29"/>
      <c r="C595" s="30"/>
      <c r="D595" s="30"/>
      <c r="E595" s="30"/>
      <c r="F595" s="30"/>
      <c r="G595" s="31"/>
      <c r="H595" s="10"/>
    </row>
    <row r="596" ht="17.25" customHeight="1">
      <c r="A596" s="10"/>
      <c r="B596" s="29"/>
      <c r="C596" s="30"/>
      <c r="D596" s="30"/>
      <c r="E596" s="30"/>
      <c r="F596" s="30"/>
      <c r="G596" s="31"/>
      <c r="H596" s="10"/>
    </row>
    <row r="597" ht="17.25" customHeight="1">
      <c r="A597" s="10"/>
      <c r="B597" s="29"/>
      <c r="C597" s="30"/>
      <c r="D597" s="30"/>
      <c r="E597" s="30"/>
      <c r="F597" s="30"/>
      <c r="G597" s="31"/>
      <c r="H597" s="10"/>
    </row>
    <row r="598" ht="17.25" customHeight="1">
      <c r="A598" s="10"/>
      <c r="B598" s="29"/>
      <c r="C598" s="30"/>
      <c r="D598" s="30"/>
      <c r="E598" s="30"/>
      <c r="F598" s="30"/>
      <c r="G598" s="31"/>
      <c r="H598" s="10"/>
    </row>
    <row r="599" ht="17.25" customHeight="1">
      <c r="A599" s="10"/>
      <c r="B599" s="29"/>
      <c r="C599" s="30"/>
      <c r="D599" s="30"/>
      <c r="E599" s="30"/>
      <c r="F599" s="30"/>
      <c r="G599" s="31"/>
      <c r="H599" s="10"/>
    </row>
    <row r="600" ht="17.25" customHeight="1">
      <c r="A600" s="10"/>
      <c r="B600" s="29"/>
      <c r="C600" s="30"/>
      <c r="D600" s="30"/>
      <c r="E600" s="30"/>
      <c r="F600" s="30"/>
      <c r="G600" s="31"/>
      <c r="H600" s="10"/>
    </row>
    <row r="601" ht="17.25" customHeight="1">
      <c r="A601" s="10"/>
      <c r="B601" s="29"/>
      <c r="C601" s="30"/>
      <c r="D601" s="30"/>
      <c r="E601" s="30"/>
      <c r="F601" s="30"/>
      <c r="G601" s="31"/>
      <c r="H601" s="10"/>
    </row>
    <row r="602" ht="17.25" customHeight="1">
      <c r="A602" s="10"/>
      <c r="B602" s="29"/>
      <c r="C602" s="30"/>
      <c r="D602" s="30"/>
      <c r="E602" s="30"/>
      <c r="F602" s="30"/>
      <c r="G602" s="31"/>
      <c r="H602" s="10"/>
    </row>
    <row r="603" ht="17.25" customHeight="1">
      <c r="A603" s="10"/>
      <c r="B603" s="29"/>
      <c r="C603" s="30"/>
      <c r="D603" s="30"/>
      <c r="E603" s="30"/>
      <c r="F603" s="30"/>
      <c r="G603" s="31"/>
      <c r="H603" s="10"/>
    </row>
    <row r="604" ht="17.25" customHeight="1">
      <c r="A604" s="10"/>
      <c r="B604" s="29"/>
      <c r="C604" s="30"/>
      <c r="D604" s="30"/>
      <c r="E604" s="30"/>
      <c r="F604" s="30"/>
      <c r="G604" s="31"/>
      <c r="H604" s="10"/>
    </row>
    <row r="605" ht="17.25" customHeight="1">
      <c r="A605" s="10"/>
      <c r="B605" s="29"/>
      <c r="C605" s="30"/>
      <c r="D605" s="30"/>
      <c r="E605" s="30"/>
      <c r="F605" s="30"/>
      <c r="G605" s="31"/>
      <c r="H605" s="10"/>
    </row>
    <row r="606" ht="17.25" customHeight="1">
      <c r="A606" s="10"/>
      <c r="B606" s="29"/>
      <c r="C606" s="30"/>
      <c r="D606" s="30"/>
      <c r="E606" s="30"/>
      <c r="F606" s="30"/>
      <c r="G606" s="31"/>
      <c r="H606" s="10"/>
    </row>
    <row r="607" ht="17.25" customHeight="1">
      <c r="A607" s="10"/>
      <c r="B607" s="29"/>
      <c r="C607" s="30"/>
      <c r="D607" s="30"/>
      <c r="E607" s="30"/>
      <c r="F607" s="30"/>
      <c r="G607" s="31"/>
      <c r="H607" s="10"/>
    </row>
    <row r="608" ht="17.25" customHeight="1">
      <c r="A608" s="10"/>
      <c r="B608" s="29"/>
      <c r="C608" s="30"/>
      <c r="D608" s="30"/>
      <c r="E608" s="30"/>
      <c r="F608" s="30"/>
      <c r="G608" s="31"/>
      <c r="H608" s="10"/>
    </row>
    <row r="609" ht="17.25" customHeight="1">
      <c r="A609" s="10"/>
      <c r="B609" s="29"/>
      <c r="C609" s="30"/>
      <c r="D609" s="30"/>
      <c r="E609" s="30"/>
      <c r="F609" s="30"/>
      <c r="G609" s="31"/>
      <c r="H609" s="10"/>
    </row>
    <row r="610" ht="17.25" customHeight="1">
      <c r="A610" s="10"/>
      <c r="B610" s="29"/>
      <c r="C610" s="30"/>
      <c r="D610" s="30"/>
      <c r="E610" s="30"/>
      <c r="F610" s="30"/>
      <c r="G610" s="31"/>
      <c r="H610" s="10"/>
    </row>
    <row r="611" ht="17.25" customHeight="1">
      <c r="A611" s="10"/>
      <c r="B611" s="29"/>
      <c r="C611" s="30"/>
      <c r="D611" s="30"/>
      <c r="E611" s="30"/>
      <c r="F611" s="30"/>
      <c r="G611" s="31"/>
      <c r="H611" s="10"/>
    </row>
    <row r="612" ht="17.25" customHeight="1">
      <c r="A612" s="10"/>
      <c r="B612" s="29"/>
      <c r="C612" s="30"/>
      <c r="D612" s="30"/>
      <c r="E612" s="30"/>
      <c r="F612" s="30"/>
      <c r="G612" s="31"/>
      <c r="H612" s="10"/>
    </row>
    <row r="613" ht="17.25" customHeight="1">
      <c r="A613" s="10"/>
      <c r="B613" s="29"/>
      <c r="C613" s="30"/>
      <c r="D613" s="30"/>
      <c r="E613" s="30"/>
      <c r="F613" s="30"/>
      <c r="G613" s="31"/>
      <c r="H613" s="10"/>
    </row>
    <row r="614" ht="17.25" customHeight="1">
      <c r="A614" s="10"/>
      <c r="B614" s="29"/>
      <c r="C614" s="30"/>
      <c r="D614" s="30"/>
      <c r="E614" s="30"/>
      <c r="F614" s="30"/>
      <c r="G614" s="31"/>
      <c r="H614" s="10"/>
    </row>
    <row r="615" ht="17.25" customHeight="1">
      <c r="A615" s="10"/>
      <c r="B615" s="29"/>
      <c r="C615" s="30"/>
      <c r="D615" s="30"/>
      <c r="E615" s="30"/>
      <c r="F615" s="30"/>
      <c r="G615" s="31"/>
      <c r="H615" s="10"/>
    </row>
    <row r="616" ht="17.25" customHeight="1">
      <c r="A616" s="10"/>
      <c r="B616" s="29"/>
      <c r="C616" s="30"/>
      <c r="D616" s="30"/>
      <c r="E616" s="30"/>
      <c r="F616" s="30"/>
      <c r="G616" s="31"/>
      <c r="H616" s="10"/>
    </row>
    <row r="617" ht="17.25" customHeight="1">
      <c r="A617" s="10"/>
      <c r="B617" s="29"/>
      <c r="C617" s="30"/>
      <c r="D617" s="30"/>
      <c r="E617" s="30"/>
      <c r="F617" s="30"/>
      <c r="G617" s="31"/>
      <c r="H617" s="10"/>
    </row>
    <row r="618" ht="17.25" customHeight="1">
      <c r="A618" s="10"/>
      <c r="B618" s="29"/>
      <c r="C618" s="30"/>
      <c r="D618" s="30"/>
      <c r="E618" s="30"/>
      <c r="F618" s="30"/>
      <c r="G618" s="31"/>
      <c r="H618" s="10"/>
    </row>
    <row r="619" ht="17.25" customHeight="1">
      <c r="A619" s="10"/>
      <c r="B619" s="29"/>
      <c r="C619" s="30"/>
      <c r="D619" s="30"/>
      <c r="E619" s="30"/>
      <c r="F619" s="30"/>
      <c r="G619" s="31"/>
      <c r="H619" s="10"/>
    </row>
    <row r="620" ht="17.25" customHeight="1">
      <c r="A620" s="10"/>
      <c r="B620" s="29"/>
      <c r="C620" s="30"/>
      <c r="D620" s="30"/>
      <c r="E620" s="30"/>
      <c r="F620" s="30"/>
      <c r="G620" s="31"/>
      <c r="H620" s="10"/>
    </row>
    <row r="621" ht="17.25" customHeight="1">
      <c r="A621" s="10"/>
      <c r="B621" s="29"/>
      <c r="C621" s="30"/>
      <c r="D621" s="30"/>
      <c r="E621" s="30"/>
      <c r="F621" s="30"/>
      <c r="G621" s="31"/>
      <c r="H621" s="10"/>
    </row>
    <row r="622" ht="17.25" customHeight="1">
      <c r="A622" s="10"/>
      <c r="B622" s="29"/>
      <c r="C622" s="30"/>
      <c r="D622" s="30"/>
      <c r="E622" s="30"/>
      <c r="F622" s="30"/>
      <c r="G622" s="31"/>
      <c r="H622" s="10"/>
    </row>
    <row r="623" ht="17.25" customHeight="1">
      <c r="A623" s="10"/>
      <c r="B623" s="29"/>
      <c r="C623" s="30"/>
      <c r="D623" s="30"/>
      <c r="E623" s="30"/>
      <c r="F623" s="30"/>
      <c r="G623" s="31"/>
      <c r="H623" s="10"/>
    </row>
    <row r="624" ht="17.25" customHeight="1">
      <c r="A624" s="10"/>
      <c r="B624" s="29"/>
      <c r="C624" s="30"/>
      <c r="D624" s="30"/>
      <c r="E624" s="30"/>
      <c r="F624" s="30"/>
      <c r="G624" s="31"/>
      <c r="H624" s="10"/>
    </row>
    <row r="625" ht="17.25" customHeight="1">
      <c r="A625" s="10"/>
      <c r="B625" s="29"/>
      <c r="C625" s="30"/>
      <c r="D625" s="30"/>
      <c r="E625" s="30"/>
      <c r="F625" s="30"/>
      <c r="G625" s="31"/>
      <c r="H625" s="10"/>
    </row>
    <row r="626" ht="17.25" customHeight="1">
      <c r="A626" s="10"/>
      <c r="B626" s="29"/>
      <c r="C626" s="30"/>
      <c r="D626" s="30"/>
      <c r="E626" s="30"/>
      <c r="F626" s="30"/>
      <c r="G626" s="31"/>
      <c r="H626" s="10"/>
    </row>
    <row r="627" ht="17.25" customHeight="1">
      <c r="A627" s="10"/>
      <c r="B627" s="29"/>
      <c r="C627" s="30"/>
      <c r="D627" s="30"/>
      <c r="E627" s="30"/>
      <c r="F627" s="30"/>
      <c r="G627" s="31"/>
      <c r="H627" s="10"/>
    </row>
    <row r="628" ht="17.25" customHeight="1">
      <c r="A628" s="10"/>
      <c r="B628" s="29"/>
      <c r="C628" s="30"/>
      <c r="D628" s="30"/>
      <c r="E628" s="30"/>
      <c r="F628" s="30"/>
      <c r="G628" s="31"/>
      <c r="H628" s="10"/>
    </row>
    <row r="629" ht="17.25" customHeight="1">
      <c r="A629" s="10"/>
      <c r="B629" s="29"/>
      <c r="C629" s="30"/>
      <c r="D629" s="30"/>
      <c r="E629" s="30"/>
      <c r="F629" s="30"/>
      <c r="G629" s="31"/>
      <c r="H629" s="10"/>
    </row>
    <row r="630" ht="17.25" customHeight="1">
      <c r="A630" s="10"/>
      <c r="B630" s="29"/>
      <c r="C630" s="30"/>
      <c r="D630" s="30"/>
      <c r="E630" s="30"/>
      <c r="F630" s="30"/>
      <c r="G630" s="31"/>
      <c r="H630" s="10"/>
    </row>
    <row r="631" ht="17.25" customHeight="1">
      <c r="A631" s="10"/>
      <c r="B631" s="29"/>
      <c r="C631" s="30"/>
      <c r="D631" s="30"/>
      <c r="E631" s="30"/>
      <c r="F631" s="30"/>
      <c r="G631" s="31"/>
      <c r="H631" s="10"/>
    </row>
    <row r="632" ht="17.25" customHeight="1">
      <c r="A632" s="10"/>
      <c r="B632" s="29"/>
      <c r="C632" s="30"/>
      <c r="D632" s="30"/>
      <c r="E632" s="30"/>
      <c r="F632" s="30"/>
      <c r="G632" s="31"/>
      <c r="H632" s="10"/>
    </row>
    <row r="633" ht="17.25" customHeight="1">
      <c r="A633" s="10"/>
      <c r="B633" s="29"/>
      <c r="C633" s="30"/>
      <c r="D633" s="30"/>
      <c r="E633" s="30"/>
      <c r="F633" s="30"/>
      <c r="G633" s="31"/>
      <c r="H633" s="10"/>
    </row>
    <row r="634" ht="17.25" customHeight="1">
      <c r="A634" s="10"/>
      <c r="B634" s="29"/>
      <c r="C634" s="30"/>
      <c r="D634" s="30"/>
      <c r="E634" s="30"/>
      <c r="F634" s="30"/>
      <c r="G634" s="31"/>
      <c r="H634" s="10"/>
    </row>
    <row r="635" ht="17.25" customHeight="1">
      <c r="A635" s="10"/>
      <c r="B635" s="29"/>
      <c r="C635" s="30"/>
      <c r="D635" s="30"/>
      <c r="E635" s="30"/>
      <c r="F635" s="30"/>
      <c r="G635" s="31"/>
      <c r="H635" s="10"/>
    </row>
    <row r="636" ht="17.25" customHeight="1">
      <c r="A636" s="10"/>
      <c r="B636" s="29"/>
      <c r="C636" s="30"/>
      <c r="D636" s="30"/>
      <c r="E636" s="30"/>
      <c r="F636" s="30"/>
      <c r="G636" s="31"/>
      <c r="H636" s="10"/>
    </row>
    <row r="637" ht="17.25" customHeight="1">
      <c r="A637" s="10"/>
      <c r="B637" s="29"/>
      <c r="C637" s="30"/>
      <c r="D637" s="30"/>
      <c r="E637" s="30"/>
      <c r="F637" s="30"/>
      <c r="G637" s="31"/>
      <c r="H637" s="10"/>
    </row>
    <row r="638" ht="17.25" customHeight="1">
      <c r="A638" s="10"/>
      <c r="B638" s="29"/>
      <c r="C638" s="30"/>
      <c r="D638" s="30"/>
      <c r="E638" s="30"/>
      <c r="F638" s="30"/>
      <c r="G638" s="31"/>
      <c r="H638" s="10"/>
    </row>
    <row r="639" ht="17.25" customHeight="1">
      <c r="A639" s="10"/>
      <c r="B639" s="29"/>
      <c r="C639" s="30"/>
      <c r="D639" s="30"/>
      <c r="E639" s="30"/>
      <c r="F639" s="30"/>
      <c r="G639" s="31"/>
      <c r="H639" s="10"/>
    </row>
    <row r="640" ht="17.25" customHeight="1">
      <c r="A640" s="10"/>
      <c r="B640" s="29"/>
      <c r="C640" s="30"/>
      <c r="D640" s="30"/>
      <c r="E640" s="30"/>
      <c r="F640" s="30"/>
      <c r="G640" s="31"/>
      <c r="H640" s="10"/>
    </row>
    <row r="641" ht="17.25" customHeight="1">
      <c r="A641" s="10"/>
      <c r="B641" s="29"/>
      <c r="C641" s="30"/>
      <c r="D641" s="30"/>
      <c r="E641" s="30"/>
      <c r="F641" s="30"/>
      <c r="G641" s="31"/>
      <c r="H641" s="10"/>
    </row>
    <row r="642" ht="17.25" customHeight="1">
      <c r="A642" s="10"/>
      <c r="B642" s="29"/>
      <c r="C642" s="30"/>
      <c r="D642" s="30"/>
      <c r="E642" s="30"/>
      <c r="F642" s="30"/>
      <c r="G642" s="31"/>
      <c r="H642" s="10"/>
    </row>
    <row r="643" ht="17.25" customHeight="1">
      <c r="A643" s="10"/>
      <c r="B643" s="29"/>
      <c r="C643" s="30"/>
      <c r="D643" s="30"/>
      <c r="E643" s="30"/>
      <c r="F643" s="30"/>
      <c r="G643" s="31"/>
      <c r="H643" s="10"/>
    </row>
    <row r="644" ht="17.25" customHeight="1">
      <c r="A644" s="10"/>
      <c r="B644" s="29"/>
      <c r="C644" s="30"/>
      <c r="D644" s="30"/>
      <c r="E644" s="30"/>
      <c r="F644" s="30"/>
      <c r="G644" s="31"/>
      <c r="H644" s="10"/>
    </row>
    <row r="645" ht="17.25" customHeight="1">
      <c r="A645" s="10"/>
      <c r="B645" s="29"/>
      <c r="C645" s="30"/>
      <c r="D645" s="30"/>
      <c r="E645" s="30"/>
      <c r="F645" s="30"/>
      <c r="G645" s="31"/>
      <c r="H645" s="10"/>
    </row>
    <row r="646" ht="17.25" customHeight="1">
      <c r="A646" s="10"/>
      <c r="B646" s="29"/>
      <c r="C646" s="30"/>
      <c r="D646" s="30"/>
      <c r="E646" s="30"/>
      <c r="F646" s="30"/>
      <c r="G646" s="31"/>
      <c r="H646" s="10"/>
    </row>
    <row r="647" ht="17.25" customHeight="1">
      <c r="A647" s="10"/>
      <c r="B647" s="29"/>
      <c r="C647" s="30"/>
      <c r="D647" s="30"/>
      <c r="E647" s="30"/>
      <c r="F647" s="30"/>
      <c r="G647" s="31"/>
      <c r="H647" s="10"/>
    </row>
    <row r="648" ht="17.25" customHeight="1">
      <c r="A648" s="10"/>
      <c r="B648" s="29"/>
      <c r="C648" s="30"/>
      <c r="D648" s="30"/>
      <c r="E648" s="30"/>
      <c r="F648" s="30"/>
      <c r="G648" s="31"/>
      <c r="H648" s="10"/>
    </row>
    <row r="649" ht="17.25" customHeight="1">
      <c r="A649" s="10"/>
      <c r="B649" s="29"/>
      <c r="C649" s="30"/>
      <c r="D649" s="30"/>
      <c r="E649" s="30"/>
      <c r="F649" s="30"/>
      <c r="G649" s="31"/>
      <c r="H649" s="10"/>
    </row>
    <row r="650" ht="17.25" customHeight="1">
      <c r="A650" s="10"/>
      <c r="B650" s="29"/>
      <c r="C650" s="30"/>
      <c r="D650" s="30"/>
      <c r="E650" s="30"/>
      <c r="F650" s="30"/>
      <c r="G650" s="31"/>
      <c r="H650" s="10"/>
    </row>
    <row r="651" ht="17.25" customHeight="1">
      <c r="A651" s="10"/>
      <c r="B651" s="29"/>
      <c r="C651" s="30"/>
      <c r="D651" s="30"/>
      <c r="E651" s="30"/>
      <c r="F651" s="30"/>
      <c r="G651" s="31"/>
      <c r="H651" s="10"/>
    </row>
    <row r="652" ht="17.25" customHeight="1">
      <c r="A652" s="10"/>
      <c r="B652" s="29"/>
      <c r="C652" s="30"/>
      <c r="D652" s="30"/>
      <c r="E652" s="30"/>
      <c r="F652" s="30"/>
      <c r="G652" s="31"/>
      <c r="H652" s="10"/>
    </row>
    <row r="653" ht="17.25" customHeight="1">
      <c r="A653" s="10"/>
      <c r="B653" s="29"/>
      <c r="C653" s="30"/>
      <c r="D653" s="30"/>
      <c r="E653" s="30"/>
      <c r="F653" s="30"/>
      <c r="G653" s="31"/>
      <c r="H653" s="10"/>
    </row>
    <row r="654" ht="17.25" customHeight="1">
      <c r="A654" s="10"/>
      <c r="B654" s="29"/>
      <c r="C654" s="30"/>
      <c r="D654" s="30"/>
      <c r="E654" s="30"/>
      <c r="F654" s="30"/>
      <c r="G654" s="31"/>
      <c r="H654" s="10"/>
    </row>
    <row r="655" ht="17.25" customHeight="1">
      <c r="A655" s="10"/>
      <c r="B655" s="29"/>
      <c r="C655" s="30"/>
      <c r="D655" s="30"/>
      <c r="E655" s="30"/>
      <c r="F655" s="30"/>
      <c r="G655" s="31"/>
      <c r="H655" s="10"/>
    </row>
    <row r="656" ht="17.25" customHeight="1">
      <c r="A656" s="10"/>
      <c r="B656" s="29"/>
      <c r="C656" s="30"/>
      <c r="D656" s="30"/>
      <c r="E656" s="30"/>
      <c r="F656" s="30"/>
      <c r="G656" s="31"/>
      <c r="H656" s="10"/>
    </row>
    <row r="657" ht="17.25" customHeight="1">
      <c r="A657" s="10"/>
      <c r="B657" s="29"/>
      <c r="C657" s="30"/>
      <c r="D657" s="30"/>
      <c r="E657" s="30"/>
      <c r="F657" s="30"/>
      <c r="G657" s="31"/>
      <c r="H657" s="10"/>
    </row>
    <row r="658" ht="17.25" customHeight="1">
      <c r="A658" s="10"/>
      <c r="B658" s="29"/>
      <c r="C658" s="30"/>
      <c r="D658" s="30"/>
      <c r="E658" s="30"/>
      <c r="F658" s="30"/>
      <c r="G658" s="31"/>
      <c r="H658" s="10"/>
    </row>
    <row r="659" ht="17.25" customHeight="1">
      <c r="A659" s="10"/>
      <c r="B659" s="29"/>
      <c r="C659" s="30"/>
      <c r="D659" s="30"/>
      <c r="E659" s="30"/>
      <c r="F659" s="30"/>
      <c r="G659" s="31"/>
      <c r="H659" s="10"/>
    </row>
    <row r="660" ht="17.25" customHeight="1">
      <c r="A660" s="10"/>
      <c r="B660" s="29"/>
      <c r="C660" s="30"/>
      <c r="D660" s="30"/>
      <c r="E660" s="30"/>
      <c r="F660" s="30"/>
      <c r="G660" s="31"/>
      <c r="H660" s="10"/>
    </row>
    <row r="661" ht="17.25" customHeight="1">
      <c r="A661" s="10"/>
      <c r="B661" s="29"/>
      <c r="C661" s="30"/>
      <c r="D661" s="30"/>
      <c r="E661" s="30"/>
      <c r="F661" s="30"/>
      <c r="G661" s="31"/>
      <c r="H661" s="10"/>
    </row>
    <row r="662" ht="17.25" customHeight="1">
      <c r="A662" s="10"/>
      <c r="B662" s="29"/>
      <c r="C662" s="30"/>
      <c r="D662" s="30"/>
      <c r="E662" s="30"/>
      <c r="F662" s="30"/>
      <c r="G662" s="31"/>
      <c r="H662" s="10"/>
    </row>
    <row r="663" ht="17.25" customHeight="1">
      <c r="A663" s="10"/>
      <c r="B663" s="29"/>
      <c r="C663" s="30"/>
      <c r="D663" s="30"/>
      <c r="E663" s="30"/>
      <c r="F663" s="30"/>
      <c r="G663" s="31"/>
      <c r="H663" s="10"/>
    </row>
    <row r="664" ht="17.25" customHeight="1">
      <c r="A664" s="10"/>
      <c r="B664" s="29"/>
      <c r="C664" s="30"/>
      <c r="D664" s="30"/>
      <c r="E664" s="30"/>
      <c r="F664" s="30"/>
      <c r="G664" s="31"/>
      <c r="H664" s="10"/>
    </row>
    <row r="665" ht="17.25" customHeight="1">
      <c r="A665" s="10"/>
      <c r="B665" s="29"/>
      <c r="C665" s="30"/>
      <c r="D665" s="30"/>
      <c r="E665" s="30"/>
      <c r="F665" s="30"/>
      <c r="G665" s="31"/>
      <c r="H665" s="10"/>
    </row>
    <row r="666" ht="17.25" customHeight="1">
      <c r="A666" s="10"/>
      <c r="B666" s="29"/>
      <c r="C666" s="30"/>
      <c r="D666" s="30"/>
      <c r="E666" s="30"/>
      <c r="F666" s="30"/>
      <c r="G666" s="31"/>
      <c r="H666" s="10"/>
    </row>
    <row r="667" ht="17.25" customHeight="1">
      <c r="A667" s="10"/>
      <c r="B667" s="29"/>
      <c r="C667" s="30"/>
      <c r="D667" s="30"/>
      <c r="E667" s="30"/>
      <c r="F667" s="30"/>
      <c r="G667" s="31"/>
      <c r="H667" s="10"/>
    </row>
    <row r="668" ht="17.25" customHeight="1">
      <c r="A668" s="10"/>
      <c r="B668" s="29"/>
      <c r="C668" s="30"/>
      <c r="D668" s="30"/>
      <c r="E668" s="30"/>
      <c r="F668" s="30"/>
      <c r="G668" s="31"/>
      <c r="H668" s="10"/>
    </row>
    <row r="669" ht="17.25" customHeight="1">
      <c r="A669" s="10"/>
      <c r="B669" s="29"/>
      <c r="C669" s="30"/>
      <c r="D669" s="30"/>
      <c r="E669" s="30"/>
      <c r="F669" s="30"/>
      <c r="G669" s="31"/>
      <c r="H669" s="10"/>
    </row>
    <row r="670" ht="17.25" customHeight="1">
      <c r="A670" s="10"/>
      <c r="B670" s="29"/>
      <c r="C670" s="30"/>
      <c r="D670" s="30"/>
      <c r="E670" s="30"/>
      <c r="F670" s="30"/>
      <c r="G670" s="31"/>
      <c r="H670" s="10"/>
    </row>
    <row r="671" ht="17.25" customHeight="1">
      <c r="A671" s="10"/>
      <c r="B671" s="29"/>
      <c r="C671" s="30"/>
      <c r="D671" s="30"/>
      <c r="E671" s="30"/>
      <c r="F671" s="30"/>
      <c r="G671" s="31"/>
      <c r="H671" s="10"/>
    </row>
    <row r="672" ht="17.25" customHeight="1">
      <c r="A672" s="10"/>
      <c r="B672" s="29"/>
      <c r="C672" s="30"/>
      <c r="D672" s="30"/>
      <c r="E672" s="30"/>
      <c r="F672" s="30"/>
      <c r="G672" s="31"/>
      <c r="H672" s="10"/>
    </row>
    <row r="673" ht="17.25" customHeight="1">
      <c r="A673" s="10"/>
      <c r="B673" s="29"/>
      <c r="C673" s="30"/>
      <c r="D673" s="30"/>
      <c r="E673" s="30"/>
      <c r="F673" s="30"/>
      <c r="G673" s="31"/>
      <c r="H673" s="10"/>
    </row>
    <row r="674" ht="17.25" customHeight="1">
      <c r="A674" s="10"/>
      <c r="B674" s="29"/>
      <c r="C674" s="30"/>
      <c r="D674" s="30"/>
      <c r="E674" s="30"/>
      <c r="F674" s="30"/>
      <c r="G674" s="31"/>
      <c r="H674" s="10"/>
    </row>
    <row r="675" ht="17.25" customHeight="1">
      <c r="A675" s="10"/>
      <c r="B675" s="29"/>
      <c r="C675" s="30"/>
      <c r="D675" s="30"/>
      <c r="E675" s="30"/>
      <c r="F675" s="30"/>
      <c r="G675" s="31"/>
      <c r="H675" s="10"/>
    </row>
    <row r="676" ht="17.25" customHeight="1">
      <c r="A676" s="10"/>
      <c r="B676" s="29"/>
      <c r="C676" s="30"/>
      <c r="D676" s="30"/>
      <c r="E676" s="30"/>
      <c r="F676" s="30"/>
      <c r="G676" s="31"/>
      <c r="H676" s="10"/>
    </row>
    <row r="677" ht="17.25" customHeight="1">
      <c r="A677" s="10"/>
      <c r="B677" s="29"/>
      <c r="C677" s="30"/>
      <c r="D677" s="30"/>
      <c r="E677" s="30"/>
      <c r="F677" s="30"/>
      <c r="G677" s="31"/>
      <c r="H677" s="10"/>
    </row>
    <row r="678" ht="17.25" customHeight="1">
      <c r="A678" s="10"/>
      <c r="B678" s="29"/>
      <c r="C678" s="30"/>
      <c r="D678" s="30"/>
      <c r="E678" s="30"/>
      <c r="F678" s="30"/>
      <c r="G678" s="31"/>
      <c r="H678" s="10"/>
    </row>
    <row r="679" ht="17.25" customHeight="1">
      <c r="A679" s="10"/>
      <c r="B679" s="29"/>
      <c r="C679" s="30"/>
      <c r="D679" s="30"/>
      <c r="E679" s="30"/>
      <c r="F679" s="30"/>
      <c r="G679" s="31"/>
      <c r="H679" s="10"/>
    </row>
    <row r="680" ht="17.25" customHeight="1">
      <c r="A680" s="10"/>
      <c r="B680" s="29"/>
      <c r="C680" s="30"/>
      <c r="D680" s="30"/>
      <c r="E680" s="30"/>
      <c r="F680" s="30"/>
      <c r="G680" s="31"/>
      <c r="H680" s="10"/>
    </row>
    <row r="681" ht="17.25" customHeight="1">
      <c r="A681" s="10"/>
      <c r="B681" s="29"/>
      <c r="C681" s="30"/>
      <c r="D681" s="30"/>
      <c r="E681" s="30"/>
      <c r="F681" s="30"/>
      <c r="G681" s="31"/>
      <c r="H681" s="10"/>
    </row>
    <row r="682" ht="17.25" customHeight="1">
      <c r="A682" s="10"/>
      <c r="B682" s="29"/>
      <c r="C682" s="30"/>
      <c r="D682" s="30"/>
      <c r="E682" s="30"/>
      <c r="F682" s="30"/>
      <c r="G682" s="31"/>
      <c r="H682" s="10"/>
    </row>
    <row r="683" ht="17.25" customHeight="1">
      <c r="A683" s="10"/>
      <c r="B683" s="29"/>
      <c r="C683" s="30"/>
      <c r="D683" s="30"/>
      <c r="E683" s="30"/>
      <c r="F683" s="30"/>
      <c r="G683" s="31"/>
      <c r="H683" s="10"/>
    </row>
    <row r="684" ht="17.25" customHeight="1">
      <c r="A684" s="10"/>
      <c r="B684" s="29"/>
      <c r="C684" s="30"/>
      <c r="D684" s="30"/>
      <c r="E684" s="30"/>
      <c r="F684" s="30"/>
      <c r="G684" s="31"/>
      <c r="H684" s="10"/>
    </row>
    <row r="685" ht="17.25" customHeight="1">
      <c r="A685" s="10"/>
      <c r="B685" s="29"/>
      <c r="C685" s="30"/>
      <c r="D685" s="30"/>
      <c r="E685" s="30"/>
      <c r="F685" s="30"/>
      <c r="G685" s="31"/>
      <c r="H685" s="10"/>
    </row>
    <row r="686" ht="17.25" customHeight="1">
      <c r="A686" s="10"/>
      <c r="B686" s="29"/>
      <c r="C686" s="30"/>
      <c r="D686" s="30"/>
      <c r="E686" s="30"/>
      <c r="F686" s="30"/>
      <c r="G686" s="31"/>
      <c r="H686" s="10"/>
    </row>
    <row r="687" ht="17.25" customHeight="1">
      <c r="A687" s="10"/>
      <c r="B687" s="29"/>
      <c r="C687" s="30"/>
      <c r="D687" s="30"/>
      <c r="E687" s="30"/>
      <c r="F687" s="30"/>
      <c r="G687" s="31"/>
      <c r="H687" s="10"/>
    </row>
    <row r="688" ht="17.25" customHeight="1">
      <c r="A688" s="10"/>
      <c r="B688" s="29"/>
      <c r="C688" s="30"/>
      <c r="D688" s="30"/>
      <c r="E688" s="30"/>
      <c r="F688" s="30"/>
      <c r="G688" s="31"/>
      <c r="H688" s="10"/>
    </row>
    <row r="689" ht="17.25" customHeight="1">
      <c r="A689" s="10"/>
      <c r="B689" s="29"/>
      <c r="C689" s="30"/>
      <c r="D689" s="30"/>
      <c r="E689" s="30"/>
      <c r="F689" s="30"/>
      <c r="G689" s="31"/>
      <c r="H689" s="10"/>
    </row>
    <row r="690" ht="17.25" customHeight="1">
      <c r="A690" s="10"/>
      <c r="B690" s="29"/>
      <c r="C690" s="30"/>
      <c r="D690" s="30"/>
      <c r="E690" s="30"/>
      <c r="F690" s="30"/>
      <c r="G690" s="31"/>
      <c r="H690" s="10"/>
    </row>
    <row r="691" ht="17.25" customHeight="1">
      <c r="A691" s="10"/>
      <c r="B691" s="29"/>
      <c r="C691" s="30"/>
      <c r="D691" s="30"/>
      <c r="E691" s="30"/>
      <c r="F691" s="30"/>
      <c r="G691" s="31"/>
      <c r="H691" s="10"/>
    </row>
    <row r="692" ht="17.25" customHeight="1">
      <c r="A692" s="10"/>
      <c r="B692" s="29"/>
      <c r="C692" s="30"/>
      <c r="D692" s="30"/>
      <c r="E692" s="30"/>
      <c r="F692" s="30"/>
      <c r="G692" s="31"/>
      <c r="H692" s="10"/>
    </row>
    <row r="693" ht="17.25" customHeight="1">
      <c r="A693" s="10"/>
      <c r="B693" s="29"/>
      <c r="C693" s="30"/>
      <c r="D693" s="30"/>
      <c r="E693" s="30"/>
      <c r="F693" s="30"/>
      <c r="G693" s="31"/>
      <c r="H693" s="10"/>
    </row>
    <row r="694" ht="17.25" customHeight="1">
      <c r="A694" s="10"/>
      <c r="B694" s="29"/>
      <c r="C694" s="30"/>
      <c r="D694" s="30"/>
      <c r="E694" s="30"/>
      <c r="F694" s="30"/>
      <c r="G694" s="31"/>
      <c r="H694" s="10"/>
    </row>
    <row r="695" ht="17.25" customHeight="1">
      <c r="A695" s="10"/>
      <c r="B695" s="29"/>
      <c r="C695" s="30"/>
      <c r="D695" s="30"/>
      <c r="E695" s="30"/>
      <c r="F695" s="30"/>
      <c r="G695" s="31"/>
      <c r="H695" s="10"/>
    </row>
    <row r="696" ht="17.25" customHeight="1">
      <c r="A696" s="10"/>
      <c r="B696" s="29"/>
      <c r="C696" s="30"/>
      <c r="D696" s="30"/>
      <c r="E696" s="30"/>
      <c r="F696" s="30"/>
      <c r="G696" s="31"/>
      <c r="H696" s="10"/>
    </row>
    <row r="697" ht="17.25" customHeight="1">
      <c r="A697" s="10"/>
      <c r="B697" s="29"/>
      <c r="C697" s="30"/>
      <c r="D697" s="30"/>
      <c r="E697" s="30"/>
      <c r="F697" s="30"/>
      <c r="G697" s="31"/>
      <c r="H697" s="10"/>
    </row>
    <row r="698" ht="17.25" customHeight="1">
      <c r="A698" s="10"/>
      <c r="B698" s="29"/>
      <c r="C698" s="30"/>
      <c r="D698" s="30"/>
      <c r="E698" s="30"/>
      <c r="F698" s="30"/>
      <c r="G698" s="31"/>
      <c r="H698" s="10"/>
    </row>
    <row r="699" ht="17.25" customHeight="1">
      <c r="A699" s="10"/>
      <c r="B699" s="29"/>
      <c r="C699" s="30"/>
      <c r="D699" s="30"/>
      <c r="E699" s="30"/>
      <c r="F699" s="30"/>
      <c r="G699" s="31"/>
      <c r="H699" s="10"/>
    </row>
    <row r="700" ht="17.25" customHeight="1">
      <c r="A700" s="10"/>
      <c r="B700" s="29"/>
      <c r="C700" s="30"/>
      <c r="D700" s="30"/>
      <c r="E700" s="30"/>
      <c r="F700" s="30"/>
      <c r="G700" s="31"/>
      <c r="H700" s="10"/>
    </row>
    <row r="701" ht="17.25" customHeight="1">
      <c r="A701" s="10"/>
      <c r="B701" s="29"/>
      <c r="C701" s="30"/>
      <c r="D701" s="30"/>
      <c r="E701" s="30"/>
      <c r="F701" s="30"/>
      <c r="G701" s="31"/>
      <c r="H701" s="10"/>
    </row>
    <row r="702" ht="17.25" customHeight="1">
      <c r="A702" s="10"/>
      <c r="B702" s="29"/>
      <c r="C702" s="30"/>
      <c r="D702" s="30"/>
      <c r="E702" s="30"/>
      <c r="F702" s="30"/>
      <c r="G702" s="31"/>
      <c r="H702" s="10"/>
    </row>
    <row r="703" ht="17.25" customHeight="1">
      <c r="A703" s="10"/>
      <c r="B703" s="29"/>
      <c r="C703" s="30"/>
      <c r="D703" s="30"/>
      <c r="E703" s="30"/>
      <c r="F703" s="30"/>
      <c r="G703" s="31"/>
      <c r="H703" s="10"/>
    </row>
    <row r="704" ht="17.25" customHeight="1">
      <c r="A704" s="10"/>
      <c r="B704" s="29"/>
      <c r="C704" s="30"/>
      <c r="D704" s="30"/>
      <c r="E704" s="30"/>
      <c r="F704" s="30"/>
      <c r="G704" s="31"/>
      <c r="H704" s="10"/>
    </row>
    <row r="705" ht="17.25" customHeight="1">
      <c r="A705" s="10"/>
      <c r="B705" s="29"/>
      <c r="C705" s="30"/>
      <c r="D705" s="30"/>
      <c r="E705" s="30"/>
      <c r="F705" s="30"/>
      <c r="G705" s="31"/>
      <c r="H705" s="10"/>
    </row>
    <row r="706" ht="17.25" customHeight="1">
      <c r="A706" s="10"/>
      <c r="B706" s="29"/>
      <c r="C706" s="30"/>
      <c r="D706" s="30"/>
      <c r="E706" s="30"/>
      <c r="F706" s="30"/>
      <c r="G706" s="31"/>
      <c r="H706" s="10"/>
    </row>
    <row r="707" ht="17.25" customHeight="1">
      <c r="A707" s="10"/>
      <c r="B707" s="29"/>
      <c r="C707" s="30"/>
      <c r="D707" s="30"/>
      <c r="E707" s="30"/>
      <c r="F707" s="30"/>
      <c r="G707" s="31"/>
      <c r="H707" s="10"/>
    </row>
    <row r="708" ht="17.25" customHeight="1">
      <c r="A708" s="10"/>
      <c r="B708" s="29"/>
      <c r="C708" s="30"/>
      <c r="D708" s="30"/>
      <c r="E708" s="30"/>
      <c r="F708" s="30"/>
      <c r="G708" s="31"/>
      <c r="H708" s="10"/>
    </row>
    <row r="709" ht="17.25" customHeight="1">
      <c r="A709" s="10"/>
      <c r="B709" s="29"/>
      <c r="C709" s="30"/>
      <c r="D709" s="30"/>
      <c r="E709" s="30"/>
      <c r="F709" s="30"/>
      <c r="G709" s="31"/>
      <c r="H709" s="10"/>
    </row>
    <row r="710" ht="17.25" customHeight="1">
      <c r="A710" s="10"/>
      <c r="B710" s="29"/>
      <c r="C710" s="30"/>
      <c r="D710" s="30"/>
      <c r="E710" s="30"/>
      <c r="F710" s="30"/>
      <c r="G710" s="31"/>
      <c r="H710" s="10"/>
    </row>
    <row r="711" ht="17.25" customHeight="1">
      <c r="A711" s="10"/>
      <c r="B711" s="29"/>
      <c r="C711" s="30"/>
      <c r="D711" s="30"/>
      <c r="E711" s="30"/>
      <c r="F711" s="30"/>
      <c r="G711" s="31"/>
      <c r="H711" s="10"/>
    </row>
    <row r="712" ht="17.25" customHeight="1">
      <c r="A712" s="10"/>
      <c r="B712" s="29"/>
      <c r="C712" s="30"/>
      <c r="D712" s="30"/>
      <c r="E712" s="30"/>
      <c r="F712" s="30"/>
      <c r="G712" s="31"/>
      <c r="H712" s="10"/>
    </row>
    <row r="713" ht="17.25" customHeight="1">
      <c r="A713" s="10"/>
      <c r="B713" s="29"/>
      <c r="C713" s="30"/>
      <c r="D713" s="30"/>
      <c r="E713" s="30"/>
      <c r="F713" s="30"/>
      <c r="G713" s="31"/>
      <c r="H713" s="10"/>
    </row>
    <row r="714" ht="17.25" customHeight="1">
      <c r="A714" s="10"/>
      <c r="B714" s="29"/>
      <c r="C714" s="30"/>
      <c r="D714" s="30"/>
      <c r="E714" s="30"/>
      <c r="F714" s="30"/>
      <c r="G714" s="31"/>
      <c r="H714" s="10"/>
    </row>
    <row r="715" ht="17.25" customHeight="1">
      <c r="A715" s="10"/>
      <c r="B715" s="29"/>
      <c r="C715" s="30"/>
      <c r="D715" s="30"/>
      <c r="E715" s="30"/>
      <c r="F715" s="30"/>
      <c r="G715" s="31"/>
      <c r="H715" s="10"/>
    </row>
    <row r="716" ht="17.25" customHeight="1">
      <c r="A716" s="10"/>
      <c r="B716" s="29"/>
      <c r="C716" s="30"/>
      <c r="D716" s="30"/>
      <c r="E716" s="30"/>
      <c r="F716" s="30"/>
      <c r="G716" s="31"/>
      <c r="H716" s="10"/>
    </row>
    <row r="717" ht="17.25" customHeight="1">
      <c r="A717" s="10"/>
      <c r="B717" s="29"/>
      <c r="C717" s="30"/>
      <c r="D717" s="30"/>
      <c r="E717" s="30"/>
      <c r="F717" s="30"/>
      <c r="G717" s="31"/>
      <c r="H717" s="10"/>
    </row>
    <row r="718" ht="17.25" customHeight="1">
      <c r="A718" s="10"/>
      <c r="B718" s="29"/>
      <c r="C718" s="30"/>
      <c r="D718" s="30"/>
      <c r="E718" s="30"/>
      <c r="F718" s="30"/>
      <c r="G718" s="31"/>
      <c r="H718" s="10"/>
    </row>
    <row r="719" ht="17.25" customHeight="1">
      <c r="A719" s="10"/>
      <c r="B719" s="29"/>
      <c r="C719" s="30"/>
      <c r="D719" s="30"/>
      <c r="E719" s="30"/>
      <c r="F719" s="30"/>
      <c r="G719" s="31"/>
      <c r="H719" s="10"/>
    </row>
    <row r="720" ht="17.25" customHeight="1">
      <c r="A720" s="10"/>
      <c r="B720" s="29"/>
      <c r="C720" s="30"/>
      <c r="D720" s="30"/>
      <c r="E720" s="30"/>
      <c r="F720" s="30"/>
      <c r="G720" s="31"/>
      <c r="H720" s="10"/>
    </row>
    <row r="721" ht="17.25" customHeight="1">
      <c r="A721" s="10"/>
      <c r="B721" s="29"/>
      <c r="C721" s="30"/>
      <c r="D721" s="30"/>
      <c r="E721" s="30"/>
      <c r="F721" s="30"/>
      <c r="G721" s="31"/>
      <c r="H721" s="10"/>
    </row>
    <row r="722" ht="17.25" customHeight="1">
      <c r="A722" s="10"/>
      <c r="B722" s="29"/>
      <c r="C722" s="30"/>
      <c r="D722" s="30"/>
      <c r="E722" s="30"/>
      <c r="F722" s="30"/>
      <c r="G722" s="31"/>
      <c r="H722" s="10"/>
    </row>
    <row r="723" ht="17.25" customHeight="1">
      <c r="A723" s="10"/>
      <c r="B723" s="29"/>
      <c r="C723" s="30"/>
      <c r="D723" s="30"/>
      <c r="E723" s="30"/>
      <c r="F723" s="30"/>
      <c r="G723" s="31"/>
      <c r="H723" s="10"/>
    </row>
    <row r="724" ht="17.25" customHeight="1">
      <c r="A724" s="10"/>
      <c r="B724" s="29"/>
      <c r="C724" s="30"/>
      <c r="D724" s="30"/>
      <c r="E724" s="30"/>
      <c r="F724" s="30"/>
      <c r="G724" s="31"/>
      <c r="H724" s="10"/>
    </row>
    <row r="725" ht="17.25" customHeight="1">
      <c r="A725" s="10"/>
      <c r="B725" s="29"/>
      <c r="C725" s="30"/>
      <c r="D725" s="30"/>
      <c r="E725" s="30"/>
      <c r="F725" s="30"/>
      <c r="G725" s="31"/>
      <c r="H725" s="10"/>
    </row>
    <row r="726" ht="17.25" customHeight="1">
      <c r="A726" s="10"/>
      <c r="B726" s="29"/>
      <c r="C726" s="30"/>
      <c r="D726" s="30"/>
      <c r="E726" s="30"/>
      <c r="F726" s="30"/>
      <c r="G726" s="31"/>
      <c r="H726" s="10"/>
    </row>
    <row r="727" ht="17.25" customHeight="1">
      <c r="A727" s="10"/>
      <c r="B727" s="29"/>
      <c r="C727" s="30"/>
      <c r="D727" s="30"/>
      <c r="E727" s="30"/>
      <c r="F727" s="30"/>
      <c r="G727" s="31"/>
      <c r="H727" s="10"/>
    </row>
    <row r="728" ht="17.25" customHeight="1">
      <c r="A728" s="10"/>
      <c r="B728" s="29"/>
      <c r="C728" s="30"/>
      <c r="D728" s="30"/>
      <c r="E728" s="30"/>
      <c r="F728" s="30"/>
      <c r="G728" s="31"/>
      <c r="H728" s="10"/>
    </row>
    <row r="729" ht="17.25" customHeight="1">
      <c r="A729" s="10"/>
      <c r="B729" s="29"/>
      <c r="C729" s="30"/>
      <c r="D729" s="30"/>
      <c r="E729" s="30"/>
      <c r="F729" s="30"/>
      <c r="G729" s="31"/>
      <c r="H729" s="10"/>
    </row>
    <row r="730" ht="17.25" customHeight="1">
      <c r="A730" s="10"/>
      <c r="B730" s="29"/>
      <c r="C730" s="30"/>
      <c r="D730" s="30"/>
      <c r="E730" s="30"/>
      <c r="F730" s="30"/>
      <c r="G730" s="31"/>
      <c r="H730" s="10"/>
    </row>
    <row r="731" ht="17.25" customHeight="1">
      <c r="A731" s="10"/>
      <c r="B731" s="29"/>
      <c r="C731" s="30"/>
      <c r="D731" s="30"/>
      <c r="E731" s="30"/>
      <c r="F731" s="30"/>
      <c r="G731" s="31"/>
      <c r="H731" s="10"/>
    </row>
    <row r="732" ht="17.25" customHeight="1">
      <c r="A732" s="10"/>
      <c r="B732" s="29"/>
      <c r="C732" s="30"/>
      <c r="D732" s="30"/>
      <c r="E732" s="30"/>
      <c r="F732" s="30"/>
      <c r="G732" s="31"/>
      <c r="H732" s="10"/>
    </row>
    <row r="733" ht="17.25" customHeight="1">
      <c r="A733" s="10"/>
      <c r="B733" s="29"/>
      <c r="C733" s="30"/>
      <c r="D733" s="30"/>
      <c r="E733" s="30"/>
      <c r="F733" s="30"/>
      <c r="G733" s="31"/>
      <c r="H733" s="10"/>
    </row>
    <row r="734" ht="17.25" customHeight="1">
      <c r="A734" s="10"/>
      <c r="B734" s="29"/>
      <c r="C734" s="30"/>
      <c r="D734" s="30"/>
      <c r="E734" s="30"/>
      <c r="F734" s="30"/>
      <c r="G734" s="31"/>
      <c r="H734" s="10"/>
    </row>
    <row r="735" ht="17.25" customHeight="1">
      <c r="A735" s="10"/>
      <c r="B735" s="29"/>
      <c r="C735" s="30"/>
      <c r="D735" s="30"/>
      <c r="E735" s="30"/>
      <c r="F735" s="30"/>
      <c r="G735" s="31"/>
      <c r="H735" s="10"/>
    </row>
    <row r="736" ht="17.25" customHeight="1">
      <c r="A736" s="10"/>
      <c r="B736" s="29"/>
      <c r="C736" s="30"/>
      <c r="D736" s="30"/>
      <c r="E736" s="30"/>
      <c r="F736" s="30"/>
      <c r="G736" s="31"/>
      <c r="H736" s="10"/>
    </row>
    <row r="737" ht="17.25" customHeight="1">
      <c r="A737" s="10"/>
      <c r="B737" s="29"/>
      <c r="C737" s="30"/>
      <c r="D737" s="30"/>
      <c r="E737" s="30"/>
      <c r="F737" s="30"/>
      <c r="G737" s="31"/>
      <c r="H737" s="10"/>
    </row>
    <row r="738" ht="17.25" customHeight="1">
      <c r="A738" s="10"/>
      <c r="B738" s="29"/>
      <c r="C738" s="30"/>
      <c r="D738" s="30"/>
      <c r="E738" s="30"/>
      <c r="F738" s="30"/>
      <c r="G738" s="31"/>
      <c r="H738" s="10"/>
    </row>
    <row r="739" ht="17.25" customHeight="1">
      <c r="A739" s="10"/>
      <c r="B739" s="29"/>
      <c r="C739" s="30"/>
      <c r="D739" s="30"/>
      <c r="E739" s="30"/>
      <c r="F739" s="30"/>
      <c r="G739" s="31"/>
      <c r="H739" s="10"/>
    </row>
    <row r="740" ht="17.25" customHeight="1">
      <c r="A740" s="10"/>
      <c r="B740" s="29"/>
      <c r="C740" s="30"/>
      <c r="D740" s="30"/>
      <c r="E740" s="30"/>
      <c r="F740" s="30"/>
      <c r="G740" s="31"/>
      <c r="H740" s="10"/>
    </row>
    <row r="741" ht="17.25" customHeight="1">
      <c r="A741" s="10"/>
      <c r="B741" s="29"/>
      <c r="C741" s="30"/>
      <c r="D741" s="30"/>
      <c r="E741" s="30"/>
      <c r="F741" s="30"/>
      <c r="G741" s="31"/>
      <c r="H741" s="10"/>
    </row>
    <row r="742" ht="17.25" customHeight="1">
      <c r="A742" s="10"/>
      <c r="B742" s="29"/>
      <c r="C742" s="30"/>
      <c r="D742" s="30"/>
      <c r="E742" s="30"/>
      <c r="F742" s="30"/>
      <c r="G742" s="31"/>
      <c r="H742" s="10"/>
    </row>
    <row r="743" ht="17.25" customHeight="1">
      <c r="A743" s="10"/>
      <c r="B743" s="29"/>
      <c r="C743" s="30"/>
      <c r="D743" s="30"/>
      <c r="E743" s="30"/>
      <c r="F743" s="30"/>
      <c r="G743" s="31"/>
      <c r="H743" s="10"/>
    </row>
    <row r="744" ht="17.25" customHeight="1">
      <c r="A744" s="10"/>
      <c r="B744" s="29"/>
      <c r="C744" s="30"/>
      <c r="D744" s="30"/>
      <c r="E744" s="30"/>
      <c r="F744" s="30"/>
      <c r="G744" s="31"/>
      <c r="H744" s="10"/>
    </row>
    <row r="745" ht="17.25" customHeight="1">
      <c r="A745" s="10"/>
      <c r="B745" s="29"/>
      <c r="C745" s="30"/>
      <c r="D745" s="30"/>
      <c r="E745" s="30"/>
      <c r="F745" s="30"/>
      <c r="G745" s="31"/>
      <c r="H745" s="10"/>
    </row>
    <row r="746" ht="17.25" customHeight="1">
      <c r="A746" s="10"/>
      <c r="B746" s="29"/>
      <c r="C746" s="30"/>
      <c r="D746" s="30"/>
      <c r="E746" s="30"/>
      <c r="F746" s="30"/>
      <c r="G746" s="31"/>
      <c r="H746" s="10"/>
    </row>
    <row r="747" ht="17.25" customHeight="1">
      <c r="A747" s="10"/>
      <c r="B747" s="29"/>
      <c r="C747" s="30"/>
      <c r="D747" s="30"/>
      <c r="E747" s="30"/>
      <c r="F747" s="30"/>
      <c r="G747" s="31"/>
      <c r="H747" s="10"/>
    </row>
    <row r="748" ht="17.25" customHeight="1">
      <c r="A748" s="10"/>
      <c r="B748" s="29"/>
      <c r="C748" s="30"/>
      <c r="D748" s="30"/>
      <c r="E748" s="30"/>
      <c r="F748" s="30"/>
      <c r="G748" s="31"/>
      <c r="H748" s="10"/>
    </row>
    <row r="749" ht="17.25" customHeight="1">
      <c r="A749" s="10"/>
      <c r="B749" s="29"/>
      <c r="C749" s="30"/>
      <c r="D749" s="30"/>
      <c r="E749" s="30"/>
      <c r="F749" s="30"/>
      <c r="G749" s="31"/>
      <c r="H749" s="10"/>
    </row>
    <row r="750" ht="17.25" customHeight="1">
      <c r="A750" s="10"/>
      <c r="B750" s="29"/>
      <c r="C750" s="30"/>
      <c r="D750" s="30"/>
      <c r="E750" s="30"/>
      <c r="F750" s="30"/>
      <c r="G750" s="31"/>
      <c r="H750" s="10"/>
    </row>
    <row r="751" ht="17.25" customHeight="1">
      <c r="A751" s="10"/>
      <c r="B751" s="29"/>
      <c r="C751" s="30"/>
      <c r="D751" s="30"/>
      <c r="E751" s="30"/>
      <c r="F751" s="30"/>
      <c r="G751" s="31"/>
      <c r="H751" s="10"/>
    </row>
    <row r="752" ht="17.25" customHeight="1">
      <c r="A752" s="10"/>
      <c r="B752" s="29"/>
      <c r="C752" s="30"/>
      <c r="D752" s="30"/>
      <c r="E752" s="30"/>
      <c r="F752" s="30"/>
      <c r="G752" s="31"/>
      <c r="H752" s="10"/>
    </row>
    <row r="753" ht="17.25" customHeight="1">
      <c r="A753" s="10"/>
      <c r="B753" s="29"/>
      <c r="C753" s="30"/>
      <c r="D753" s="30"/>
      <c r="E753" s="30"/>
      <c r="F753" s="30"/>
      <c r="G753" s="31"/>
      <c r="H753" s="10"/>
    </row>
    <row r="754" ht="17.25" customHeight="1">
      <c r="A754" s="10"/>
      <c r="B754" s="29"/>
      <c r="C754" s="30"/>
      <c r="D754" s="30"/>
      <c r="E754" s="30"/>
      <c r="F754" s="30"/>
      <c r="G754" s="31"/>
      <c r="H754" s="10"/>
    </row>
    <row r="755" ht="17.25" customHeight="1">
      <c r="A755" s="10"/>
      <c r="B755" s="29"/>
      <c r="C755" s="30"/>
      <c r="D755" s="30"/>
      <c r="E755" s="30"/>
      <c r="F755" s="30"/>
      <c r="G755" s="31"/>
      <c r="H755" s="10"/>
    </row>
    <row r="756" ht="17.25" customHeight="1">
      <c r="A756" s="10"/>
      <c r="B756" s="29"/>
      <c r="C756" s="30"/>
      <c r="D756" s="30"/>
      <c r="E756" s="30"/>
      <c r="F756" s="30"/>
      <c r="G756" s="31"/>
      <c r="H756" s="10"/>
    </row>
    <row r="757" ht="17.25" customHeight="1">
      <c r="A757" s="10"/>
      <c r="B757" s="29"/>
      <c r="C757" s="30"/>
      <c r="D757" s="30"/>
      <c r="E757" s="30"/>
      <c r="F757" s="30"/>
      <c r="G757" s="31"/>
      <c r="H757" s="10"/>
    </row>
    <row r="758" ht="17.25" customHeight="1">
      <c r="A758" s="10"/>
      <c r="B758" s="29"/>
      <c r="C758" s="30"/>
      <c r="D758" s="30"/>
      <c r="E758" s="30"/>
      <c r="F758" s="30"/>
      <c r="G758" s="31"/>
      <c r="H758" s="10"/>
    </row>
    <row r="759" ht="17.25" customHeight="1">
      <c r="A759" s="10"/>
      <c r="B759" s="29"/>
      <c r="C759" s="30"/>
      <c r="D759" s="30"/>
      <c r="E759" s="30"/>
      <c r="F759" s="30"/>
      <c r="G759" s="31"/>
      <c r="H759" s="10"/>
    </row>
    <row r="760" ht="17.25" customHeight="1">
      <c r="A760" s="10"/>
      <c r="B760" s="29"/>
      <c r="C760" s="30"/>
      <c r="D760" s="30"/>
      <c r="E760" s="30"/>
      <c r="F760" s="30"/>
      <c r="G760" s="31"/>
      <c r="H760" s="10"/>
    </row>
    <row r="761" ht="17.25" customHeight="1">
      <c r="A761" s="10"/>
      <c r="B761" s="29"/>
      <c r="C761" s="30"/>
      <c r="D761" s="30"/>
      <c r="E761" s="30"/>
      <c r="F761" s="30"/>
      <c r="G761" s="31"/>
      <c r="H761" s="10"/>
    </row>
    <row r="762" ht="17.25" customHeight="1">
      <c r="A762" s="10"/>
      <c r="B762" s="29"/>
      <c r="C762" s="30"/>
      <c r="D762" s="30"/>
      <c r="E762" s="30"/>
      <c r="F762" s="30"/>
      <c r="G762" s="31"/>
      <c r="H762" s="10"/>
    </row>
    <row r="763" ht="17.25" customHeight="1">
      <c r="A763" s="10"/>
      <c r="B763" s="29"/>
      <c r="C763" s="30"/>
      <c r="D763" s="30"/>
      <c r="E763" s="30"/>
      <c r="F763" s="30"/>
      <c r="G763" s="31"/>
      <c r="H763" s="10"/>
    </row>
    <row r="764" ht="17.25" customHeight="1">
      <c r="A764" s="10"/>
      <c r="B764" s="29"/>
      <c r="C764" s="30"/>
      <c r="D764" s="30"/>
      <c r="E764" s="30"/>
      <c r="F764" s="30"/>
      <c r="G764" s="31"/>
      <c r="H764" s="10"/>
    </row>
    <row r="765" ht="17.25" customHeight="1">
      <c r="A765" s="10"/>
      <c r="B765" s="29"/>
      <c r="C765" s="30"/>
      <c r="D765" s="30"/>
      <c r="E765" s="30"/>
      <c r="F765" s="30"/>
      <c r="G765" s="31"/>
      <c r="H765" s="10"/>
    </row>
    <row r="766" ht="17.25" customHeight="1">
      <c r="A766" s="10"/>
      <c r="B766" s="29"/>
      <c r="C766" s="30"/>
      <c r="D766" s="30"/>
      <c r="E766" s="30"/>
      <c r="F766" s="30"/>
      <c r="G766" s="31"/>
      <c r="H766" s="10"/>
    </row>
    <row r="767" ht="17.25" customHeight="1">
      <c r="A767" s="10"/>
      <c r="B767" s="29"/>
      <c r="C767" s="30"/>
      <c r="D767" s="30"/>
      <c r="E767" s="30"/>
      <c r="F767" s="30"/>
      <c r="G767" s="31"/>
      <c r="H767" s="10"/>
    </row>
    <row r="768" ht="17.25" customHeight="1">
      <c r="A768" s="10"/>
      <c r="B768" s="29"/>
      <c r="C768" s="30"/>
      <c r="D768" s="30"/>
      <c r="E768" s="30"/>
      <c r="F768" s="30"/>
      <c r="G768" s="31"/>
      <c r="H768" s="10"/>
    </row>
    <row r="769" ht="17.25" customHeight="1">
      <c r="A769" s="10"/>
      <c r="B769" s="29"/>
      <c r="C769" s="30"/>
      <c r="D769" s="30"/>
      <c r="E769" s="30"/>
      <c r="F769" s="30"/>
      <c r="G769" s="31"/>
      <c r="H769" s="10"/>
    </row>
    <row r="770" ht="17.25" customHeight="1">
      <c r="A770" s="10"/>
      <c r="B770" s="29"/>
      <c r="C770" s="30"/>
      <c r="D770" s="30"/>
      <c r="E770" s="30"/>
      <c r="F770" s="30"/>
      <c r="G770" s="31"/>
      <c r="H770" s="10"/>
    </row>
    <row r="771" ht="17.25" customHeight="1">
      <c r="A771" s="10"/>
      <c r="B771" s="29"/>
      <c r="C771" s="30"/>
      <c r="D771" s="30"/>
      <c r="E771" s="30"/>
      <c r="F771" s="30"/>
      <c r="G771" s="31"/>
      <c r="H771" s="10"/>
    </row>
    <row r="772" ht="17.25" customHeight="1">
      <c r="A772" s="10"/>
      <c r="B772" s="29"/>
      <c r="C772" s="30"/>
      <c r="D772" s="30"/>
      <c r="E772" s="30"/>
      <c r="F772" s="30"/>
      <c r="G772" s="31"/>
      <c r="H772" s="10"/>
    </row>
    <row r="773" ht="17.25" customHeight="1">
      <c r="A773" s="10"/>
      <c r="B773" s="29"/>
      <c r="C773" s="30"/>
      <c r="D773" s="30"/>
      <c r="E773" s="30"/>
      <c r="F773" s="30"/>
      <c r="G773" s="31"/>
      <c r="H773" s="10"/>
    </row>
    <row r="774" ht="17.25" customHeight="1">
      <c r="A774" s="10"/>
      <c r="B774" s="29"/>
      <c r="C774" s="30"/>
      <c r="D774" s="30"/>
      <c r="E774" s="30"/>
      <c r="F774" s="30"/>
      <c r="G774" s="31"/>
      <c r="H774" s="10"/>
    </row>
    <row r="775" ht="17.25" customHeight="1">
      <c r="A775" s="10"/>
      <c r="B775" s="29"/>
      <c r="C775" s="30"/>
      <c r="D775" s="30"/>
      <c r="E775" s="30"/>
      <c r="F775" s="30"/>
      <c r="G775" s="31"/>
      <c r="H775" s="10"/>
    </row>
    <row r="776" ht="17.25" customHeight="1">
      <c r="A776" s="10"/>
      <c r="B776" s="29"/>
      <c r="C776" s="30"/>
      <c r="D776" s="30"/>
      <c r="E776" s="30"/>
      <c r="F776" s="30"/>
      <c r="G776" s="31"/>
      <c r="H776" s="10"/>
    </row>
    <row r="777" ht="17.25" customHeight="1">
      <c r="A777" s="10"/>
      <c r="B777" s="29"/>
      <c r="C777" s="30"/>
      <c r="D777" s="30"/>
      <c r="E777" s="30"/>
      <c r="F777" s="30"/>
      <c r="G777" s="31"/>
      <c r="H777" s="10"/>
    </row>
    <row r="778" ht="17.25" customHeight="1">
      <c r="A778" s="10"/>
      <c r="B778" s="29"/>
      <c r="C778" s="30"/>
      <c r="D778" s="30"/>
      <c r="E778" s="30"/>
      <c r="F778" s="30"/>
      <c r="G778" s="31"/>
      <c r="H778" s="10"/>
    </row>
    <row r="779" ht="17.25" customHeight="1">
      <c r="A779" s="10"/>
      <c r="B779" s="29"/>
      <c r="C779" s="30"/>
      <c r="D779" s="30"/>
      <c r="E779" s="30"/>
      <c r="F779" s="30"/>
      <c r="G779" s="31"/>
      <c r="H779" s="10"/>
    </row>
    <row r="780" ht="17.25" customHeight="1">
      <c r="A780" s="10"/>
      <c r="B780" s="29"/>
      <c r="C780" s="30"/>
      <c r="D780" s="30"/>
      <c r="E780" s="30"/>
      <c r="F780" s="30"/>
      <c r="G780" s="31"/>
      <c r="H780" s="10"/>
    </row>
    <row r="781" ht="17.25" customHeight="1">
      <c r="A781" s="10"/>
      <c r="B781" s="29"/>
      <c r="C781" s="30"/>
      <c r="D781" s="30"/>
      <c r="E781" s="30"/>
      <c r="F781" s="30"/>
      <c r="G781" s="31"/>
      <c r="H781" s="10"/>
    </row>
    <row r="782" ht="17.25" customHeight="1">
      <c r="A782" s="10"/>
      <c r="B782" s="29"/>
      <c r="C782" s="30"/>
      <c r="D782" s="30"/>
      <c r="E782" s="30"/>
      <c r="F782" s="30"/>
      <c r="G782" s="31"/>
      <c r="H782" s="10"/>
    </row>
    <row r="783" ht="17.25" customHeight="1">
      <c r="A783" s="10"/>
      <c r="B783" s="29"/>
      <c r="C783" s="30"/>
      <c r="D783" s="30"/>
      <c r="E783" s="30"/>
      <c r="F783" s="30"/>
      <c r="G783" s="31"/>
      <c r="H783" s="10"/>
    </row>
    <row r="784" ht="17.25" customHeight="1">
      <c r="A784" s="10"/>
      <c r="B784" s="29"/>
      <c r="C784" s="30"/>
      <c r="D784" s="30"/>
      <c r="E784" s="30"/>
      <c r="F784" s="30"/>
      <c r="G784" s="31"/>
      <c r="H784" s="10"/>
    </row>
    <row r="785" ht="17.25" customHeight="1">
      <c r="A785" s="10"/>
      <c r="B785" s="29"/>
      <c r="C785" s="30"/>
      <c r="D785" s="30"/>
      <c r="E785" s="30"/>
      <c r="F785" s="30"/>
      <c r="G785" s="31"/>
      <c r="H785" s="10"/>
    </row>
    <row r="786" ht="17.25" customHeight="1">
      <c r="A786" s="10"/>
      <c r="B786" s="29"/>
      <c r="C786" s="30"/>
      <c r="D786" s="30"/>
      <c r="E786" s="30"/>
      <c r="F786" s="30"/>
      <c r="G786" s="31"/>
      <c r="H786" s="10"/>
    </row>
    <row r="787" ht="17.25" customHeight="1">
      <c r="A787" s="10"/>
      <c r="B787" s="29"/>
      <c r="C787" s="30"/>
      <c r="D787" s="30"/>
      <c r="E787" s="30"/>
      <c r="F787" s="30"/>
      <c r="G787" s="31"/>
      <c r="H787" s="10"/>
    </row>
    <row r="788" ht="17.25" customHeight="1">
      <c r="A788" s="10"/>
      <c r="B788" s="29"/>
      <c r="C788" s="30"/>
      <c r="D788" s="30"/>
      <c r="E788" s="30"/>
      <c r="F788" s="30"/>
      <c r="G788" s="31"/>
      <c r="H788" s="10"/>
    </row>
    <row r="789" ht="17.25" customHeight="1">
      <c r="A789" s="10"/>
      <c r="B789" s="29"/>
      <c r="C789" s="30"/>
      <c r="D789" s="30"/>
      <c r="E789" s="30"/>
      <c r="F789" s="30"/>
      <c r="G789" s="31"/>
      <c r="H789" s="10"/>
    </row>
    <row r="790" ht="17.25" customHeight="1">
      <c r="A790" s="10"/>
      <c r="B790" s="29"/>
      <c r="C790" s="30"/>
      <c r="D790" s="30"/>
      <c r="E790" s="30"/>
      <c r="F790" s="30"/>
      <c r="G790" s="31"/>
      <c r="H790" s="10"/>
    </row>
    <row r="791" ht="17.25" customHeight="1">
      <c r="A791" s="10"/>
      <c r="B791" s="29"/>
      <c r="C791" s="30"/>
      <c r="D791" s="30"/>
      <c r="E791" s="30"/>
      <c r="F791" s="30"/>
      <c r="G791" s="31"/>
      <c r="H791" s="10"/>
    </row>
    <row r="792" ht="17.25" customHeight="1">
      <c r="A792" s="10"/>
      <c r="B792" s="29"/>
      <c r="C792" s="30"/>
      <c r="D792" s="30"/>
      <c r="E792" s="30"/>
      <c r="F792" s="30"/>
      <c r="G792" s="31"/>
      <c r="H792" s="10"/>
    </row>
    <row r="793" ht="17.25" customHeight="1">
      <c r="A793" s="10"/>
      <c r="B793" s="29"/>
      <c r="C793" s="30"/>
      <c r="D793" s="30"/>
      <c r="E793" s="30"/>
      <c r="F793" s="30"/>
      <c r="G793" s="31"/>
      <c r="H793" s="10"/>
    </row>
    <row r="794" ht="17.25" customHeight="1">
      <c r="A794" s="10"/>
      <c r="B794" s="29"/>
      <c r="C794" s="30"/>
      <c r="D794" s="30"/>
      <c r="E794" s="30"/>
      <c r="F794" s="30"/>
      <c r="G794" s="31"/>
      <c r="H794" s="10"/>
    </row>
    <row r="795" ht="17.25" customHeight="1">
      <c r="A795" s="10"/>
      <c r="B795" s="29"/>
      <c r="C795" s="30"/>
      <c r="D795" s="30"/>
      <c r="E795" s="30"/>
      <c r="F795" s="30"/>
      <c r="G795" s="31"/>
      <c r="H795" s="10"/>
    </row>
    <row r="796" ht="17.25" customHeight="1">
      <c r="A796" s="10"/>
      <c r="B796" s="29"/>
      <c r="C796" s="30"/>
      <c r="D796" s="30"/>
      <c r="E796" s="30"/>
      <c r="F796" s="30"/>
      <c r="G796" s="31"/>
      <c r="H796" s="10"/>
    </row>
    <row r="797" ht="17.25" customHeight="1">
      <c r="A797" s="10"/>
      <c r="B797" s="29"/>
      <c r="C797" s="30"/>
      <c r="D797" s="30"/>
      <c r="E797" s="30"/>
      <c r="F797" s="30"/>
      <c r="G797" s="31"/>
      <c r="H797" s="10"/>
    </row>
    <row r="798" ht="17.25" customHeight="1">
      <c r="A798" s="10"/>
      <c r="B798" s="29"/>
      <c r="C798" s="30"/>
      <c r="D798" s="30"/>
      <c r="E798" s="30"/>
      <c r="F798" s="30"/>
      <c r="G798" s="31"/>
      <c r="H798" s="10"/>
    </row>
    <row r="799" ht="17.25" customHeight="1">
      <c r="A799" s="10"/>
      <c r="B799" s="29"/>
      <c r="C799" s="30"/>
      <c r="D799" s="30"/>
      <c r="E799" s="30"/>
      <c r="F799" s="30"/>
      <c r="G799" s="31"/>
      <c r="H799" s="10"/>
    </row>
    <row r="800" ht="17.25" customHeight="1">
      <c r="A800" s="10"/>
      <c r="B800" s="29"/>
      <c r="C800" s="30"/>
      <c r="D800" s="30"/>
      <c r="E800" s="30"/>
      <c r="F800" s="30"/>
      <c r="G800" s="31"/>
      <c r="H800" s="10"/>
    </row>
    <row r="801" ht="17.25" customHeight="1">
      <c r="A801" s="10"/>
      <c r="B801" s="29"/>
      <c r="C801" s="30"/>
      <c r="D801" s="30"/>
      <c r="E801" s="30"/>
      <c r="F801" s="30"/>
      <c r="G801" s="31"/>
      <c r="H801" s="10"/>
    </row>
    <row r="802" ht="17.25" customHeight="1">
      <c r="A802" s="10"/>
      <c r="B802" s="29"/>
      <c r="C802" s="30"/>
      <c r="D802" s="30"/>
      <c r="E802" s="30"/>
      <c r="F802" s="30"/>
      <c r="G802" s="31"/>
      <c r="H802" s="10"/>
    </row>
    <row r="803" ht="17.25" customHeight="1">
      <c r="A803" s="10"/>
      <c r="B803" s="29"/>
      <c r="C803" s="30"/>
      <c r="D803" s="30"/>
      <c r="E803" s="30"/>
      <c r="F803" s="30"/>
      <c r="G803" s="31"/>
      <c r="H803" s="10"/>
    </row>
    <row r="804" ht="17.25" customHeight="1">
      <c r="A804" s="10"/>
      <c r="B804" s="29"/>
      <c r="C804" s="30"/>
      <c r="D804" s="30"/>
      <c r="E804" s="30"/>
      <c r="F804" s="30"/>
      <c r="G804" s="31"/>
      <c r="H804" s="10"/>
    </row>
    <row r="805" ht="17.25" customHeight="1">
      <c r="A805" s="10"/>
      <c r="B805" s="29"/>
      <c r="C805" s="30"/>
      <c r="D805" s="30"/>
      <c r="E805" s="30"/>
      <c r="F805" s="30"/>
      <c r="G805" s="31"/>
      <c r="H805" s="10"/>
    </row>
    <row r="806" ht="17.25" customHeight="1">
      <c r="A806" s="10"/>
      <c r="B806" s="29"/>
      <c r="C806" s="30"/>
      <c r="D806" s="30"/>
      <c r="E806" s="30"/>
      <c r="F806" s="30"/>
      <c r="G806" s="31"/>
      <c r="H806" s="10"/>
    </row>
    <row r="807" ht="17.25" customHeight="1">
      <c r="A807" s="10"/>
      <c r="B807" s="29"/>
      <c r="C807" s="30"/>
      <c r="D807" s="30"/>
      <c r="E807" s="30"/>
      <c r="F807" s="30"/>
      <c r="G807" s="31"/>
      <c r="H807" s="10"/>
    </row>
    <row r="808" ht="17.25" customHeight="1">
      <c r="A808" s="10"/>
      <c r="B808" s="29"/>
      <c r="C808" s="30"/>
      <c r="D808" s="30"/>
      <c r="E808" s="30"/>
      <c r="F808" s="30"/>
      <c r="G808" s="31"/>
      <c r="H808" s="10"/>
    </row>
    <row r="809" ht="17.25" customHeight="1">
      <c r="A809" s="10"/>
      <c r="B809" s="29"/>
      <c r="C809" s="30"/>
      <c r="D809" s="30"/>
      <c r="E809" s="30"/>
      <c r="F809" s="30"/>
      <c r="G809" s="31"/>
      <c r="H809" s="10"/>
    </row>
    <row r="810" ht="17.25" customHeight="1">
      <c r="A810" s="10"/>
      <c r="B810" s="29"/>
      <c r="C810" s="30"/>
      <c r="D810" s="30"/>
      <c r="E810" s="30"/>
      <c r="F810" s="30"/>
      <c r="G810" s="31"/>
      <c r="H810" s="10"/>
    </row>
    <row r="811" ht="17.25" customHeight="1">
      <c r="A811" s="10"/>
      <c r="B811" s="29"/>
      <c r="C811" s="30"/>
      <c r="D811" s="30"/>
      <c r="E811" s="30"/>
      <c r="F811" s="30"/>
      <c r="G811" s="31"/>
      <c r="H811" s="10"/>
    </row>
    <row r="812" ht="17.25" customHeight="1">
      <c r="A812" s="10"/>
      <c r="B812" s="29"/>
      <c r="C812" s="30"/>
      <c r="D812" s="30"/>
      <c r="E812" s="30"/>
      <c r="F812" s="30"/>
      <c r="G812" s="31"/>
      <c r="H812" s="10"/>
    </row>
    <row r="813" ht="17.25" customHeight="1">
      <c r="A813" s="10"/>
      <c r="B813" s="29"/>
      <c r="C813" s="30"/>
      <c r="D813" s="30"/>
      <c r="E813" s="30"/>
      <c r="F813" s="30"/>
      <c r="G813" s="31"/>
      <c r="H813" s="10"/>
    </row>
    <row r="814" ht="17.25" customHeight="1">
      <c r="A814" s="10"/>
      <c r="B814" s="29"/>
      <c r="C814" s="30"/>
      <c r="D814" s="30"/>
      <c r="E814" s="30"/>
      <c r="F814" s="30"/>
      <c r="G814" s="31"/>
      <c r="H814" s="10"/>
    </row>
    <row r="815" ht="17.25" customHeight="1">
      <c r="A815" s="10"/>
      <c r="B815" s="29"/>
      <c r="C815" s="30"/>
      <c r="D815" s="30"/>
      <c r="E815" s="30"/>
      <c r="F815" s="30"/>
      <c r="G815" s="31"/>
      <c r="H815" s="10"/>
    </row>
    <row r="816" ht="17.25" customHeight="1">
      <c r="A816" s="10"/>
      <c r="B816" s="29"/>
      <c r="C816" s="30"/>
      <c r="D816" s="30"/>
      <c r="E816" s="30"/>
      <c r="F816" s="30"/>
      <c r="G816" s="31"/>
      <c r="H816" s="10"/>
    </row>
    <row r="817" ht="17.25" customHeight="1">
      <c r="A817" s="10"/>
      <c r="B817" s="29"/>
      <c r="C817" s="30"/>
      <c r="D817" s="30"/>
      <c r="E817" s="30"/>
      <c r="F817" s="30"/>
      <c r="G817" s="31"/>
      <c r="H817" s="10"/>
    </row>
    <row r="818" ht="17.25" customHeight="1">
      <c r="A818" s="10"/>
      <c r="B818" s="29"/>
      <c r="C818" s="30"/>
      <c r="D818" s="30"/>
      <c r="E818" s="30"/>
      <c r="F818" s="30"/>
      <c r="G818" s="31"/>
      <c r="H818" s="10"/>
    </row>
    <row r="819" ht="17.25" customHeight="1">
      <c r="A819" s="10"/>
      <c r="B819" s="29"/>
      <c r="C819" s="30"/>
      <c r="D819" s="30"/>
      <c r="E819" s="30"/>
      <c r="F819" s="30"/>
      <c r="G819" s="31"/>
      <c r="H819" s="10"/>
    </row>
    <row r="820" ht="17.25" customHeight="1">
      <c r="A820" s="10"/>
      <c r="B820" s="29"/>
      <c r="C820" s="30"/>
      <c r="D820" s="30"/>
      <c r="E820" s="30"/>
      <c r="F820" s="30"/>
      <c r="G820" s="31"/>
      <c r="H820" s="10"/>
    </row>
    <row r="821" ht="17.25" customHeight="1">
      <c r="A821" s="10"/>
      <c r="B821" s="29"/>
      <c r="C821" s="30"/>
      <c r="D821" s="30"/>
      <c r="E821" s="30"/>
      <c r="F821" s="30"/>
      <c r="G821" s="31"/>
      <c r="H821" s="10"/>
    </row>
    <row r="822" ht="17.25" customHeight="1">
      <c r="A822" s="10"/>
      <c r="B822" s="29"/>
      <c r="C822" s="30"/>
      <c r="D822" s="30"/>
      <c r="E822" s="30"/>
      <c r="F822" s="30"/>
      <c r="G822" s="31"/>
      <c r="H822" s="10"/>
    </row>
    <row r="823" ht="17.25" customHeight="1">
      <c r="A823" s="10"/>
      <c r="B823" s="29"/>
      <c r="C823" s="30"/>
      <c r="D823" s="30"/>
      <c r="E823" s="30"/>
      <c r="F823" s="30"/>
      <c r="G823" s="31"/>
      <c r="H823" s="10"/>
    </row>
    <row r="824" ht="17.25" customHeight="1">
      <c r="A824" s="10"/>
      <c r="B824" s="29"/>
      <c r="C824" s="30"/>
      <c r="D824" s="30"/>
      <c r="E824" s="30"/>
      <c r="F824" s="30"/>
      <c r="G824" s="31"/>
      <c r="H824" s="10"/>
    </row>
    <row r="825" ht="17.25" customHeight="1">
      <c r="A825" s="10"/>
      <c r="B825" s="29"/>
      <c r="C825" s="30"/>
      <c r="D825" s="30"/>
      <c r="E825" s="30"/>
      <c r="F825" s="30"/>
      <c r="G825" s="31"/>
      <c r="H825" s="10"/>
    </row>
    <row r="826" ht="17.25" customHeight="1">
      <c r="A826" s="10"/>
      <c r="B826" s="29"/>
      <c r="C826" s="30"/>
      <c r="D826" s="30"/>
      <c r="E826" s="30"/>
      <c r="F826" s="30"/>
      <c r="G826" s="31"/>
      <c r="H826" s="10"/>
    </row>
    <row r="827" ht="17.25" customHeight="1">
      <c r="A827" s="10"/>
      <c r="B827" s="29"/>
      <c r="C827" s="30"/>
      <c r="D827" s="30"/>
      <c r="E827" s="30"/>
      <c r="F827" s="30"/>
      <c r="G827" s="31"/>
      <c r="H827" s="10"/>
    </row>
    <row r="828" ht="17.25" customHeight="1">
      <c r="A828" s="10"/>
      <c r="B828" s="29"/>
      <c r="C828" s="30"/>
      <c r="D828" s="30"/>
      <c r="E828" s="30"/>
      <c r="F828" s="30"/>
      <c r="G828" s="31"/>
      <c r="H828" s="10"/>
    </row>
    <row r="829" ht="17.25" customHeight="1">
      <c r="A829" s="10"/>
      <c r="B829" s="29"/>
      <c r="C829" s="30"/>
      <c r="D829" s="30"/>
      <c r="E829" s="30"/>
      <c r="F829" s="30"/>
      <c r="G829" s="31"/>
      <c r="H829" s="10"/>
    </row>
    <row r="830" ht="17.25" customHeight="1">
      <c r="A830" s="10"/>
      <c r="B830" s="29"/>
      <c r="C830" s="30"/>
      <c r="D830" s="30"/>
      <c r="E830" s="30"/>
      <c r="F830" s="30"/>
      <c r="G830" s="31"/>
      <c r="H830" s="10"/>
    </row>
    <row r="831" ht="17.25" customHeight="1">
      <c r="A831" s="10"/>
      <c r="B831" s="29"/>
      <c r="C831" s="30"/>
      <c r="D831" s="30"/>
      <c r="E831" s="30"/>
      <c r="F831" s="30"/>
      <c r="G831" s="31"/>
      <c r="H831" s="10"/>
    </row>
    <row r="832" ht="17.25" customHeight="1">
      <c r="A832" s="10"/>
      <c r="B832" s="29"/>
      <c r="C832" s="30"/>
      <c r="D832" s="30"/>
      <c r="E832" s="30"/>
      <c r="F832" s="30"/>
      <c r="G832" s="31"/>
      <c r="H832" s="10"/>
    </row>
    <row r="833" ht="17.25" customHeight="1">
      <c r="A833" s="10"/>
      <c r="B833" s="29"/>
      <c r="C833" s="30"/>
      <c r="D833" s="30"/>
      <c r="E833" s="30"/>
      <c r="F833" s="30"/>
      <c r="G833" s="31"/>
      <c r="H833" s="10"/>
    </row>
    <row r="834" ht="17.25" customHeight="1">
      <c r="A834" s="10"/>
      <c r="B834" s="29"/>
      <c r="C834" s="30"/>
      <c r="D834" s="30"/>
      <c r="E834" s="30"/>
      <c r="F834" s="30"/>
      <c r="G834" s="31"/>
      <c r="H834" s="10"/>
    </row>
    <row r="835" ht="17.25" customHeight="1">
      <c r="A835" s="10"/>
      <c r="B835" s="29"/>
      <c r="C835" s="30"/>
      <c r="D835" s="30"/>
      <c r="E835" s="30"/>
      <c r="F835" s="30"/>
      <c r="G835" s="31"/>
      <c r="H835" s="10"/>
    </row>
    <row r="836" ht="17.25" customHeight="1">
      <c r="A836" s="10"/>
      <c r="B836" s="29"/>
      <c r="C836" s="30"/>
      <c r="D836" s="30"/>
      <c r="E836" s="30"/>
      <c r="F836" s="30"/>
      <c r="G836" s="31"/>
      <c r="H836" s="10"/>
    </row>
    <row r="837" ht="17.25" customHeight="1">
      <c r="A837" s="10"/>
      <c r="B837" s="29"/>
      <c r="C837" s="30"/>
      <c r="D837" s="30"/>
      <c r="E837" s="30"/>
      <c r="F837" s="30"/>
      <c r="G837" s="31"/>
      <c r="H837" s="10"/>
    </row>
    <row r="838" ht="17.25" customHeight="1">
      <c r="A838" s="10"/>
      <c r="B838" s="29"/>
      <c r="C838" s="30"/>
      <c r="D838" s="30"/>
      <c r="E838" s="30"/>
      <c r="F838" s="30"/>
      <c r="G838" s="31"/>
      <c r="H838" s="10"/>
    </row>
    <row r="839" ht="17.25" customHeight="1">
      <c r="A839" s="10"/>
      <c r="B839" s="29"/>
      <c r="C839" s="30"/>
      <c r="D839" s="30"/>
      <c r="E839" s="30"/>
      <c r="F839" s="30"/>
      <c r="G839" s="31"/>
      <c r="H839" s="10"/>
    </row>
    <row r="840" ht="17.25" customHeight="1">
      <c r="A840" s="10"/>
      <c r="B840" s="29"/>
      <c r="C840" s="30"/>
      <c r="D840" s="30"/>
      <c r="E840" s="30"/>
      <c r="F840" s="30"/>
      <c r="G840" s="31"/>
      <c r="H840" s="10"/>
    </row>
    <row r="841" ht="17.25" customHeight="1">
      <c r="A841" s="10"/>
      <c r="B841" s="29"/>
      <c r="C841" s="30"/>
      <c r="D841" s="30"/>
      <c r="E841" s="30"/>
      <c r="F841" s="30"/>
      <c r="G841" s="31"/>
      <c r="H841" s="10"/>
    </row>
    <row r="842" ht="17.25" customHeight="1">
      <c r="A842" s="10"/>
      <c r="B842" s="29"/>
      <c r="C842" s="30"/>
      <c r="D842" s="30"/>
      <c r="E842" s="30"/>
      <c r="F842" s="30"/>
      <c r="G842" s="31"/>
      <c r="H842" s="10"/>
    </row>
    <row r="843" ht="17.25" customHeight="1">
      <c r="A843" s="10"/>
      <c r="B843" s="29"/>
      <c r="C843" s="30"/>
      <c r="D843" s="30"/>
      <c r="E843" s="30"/>
      <c r="F843" s="30"/>
      <c r="G843" s="31"/>
      <c r="H843" s="10"/>
    </row>
    <row r="844" ht="17.25" customHeight="1">
      <c r="A844" s="10"/>
      <c r="B844" s="29"/>
      <c r="C844" s="30"/>
      <c r="D844" s="30"/>
      <c r="E844" s="30"/>
      <c r="F844" s="30"/>
      <c r="G844" s="31"/>
      <c r="H844" s="10"/>
    </row>
    <row r="845" ht="17.25" customHeight="1">
      <c r="A845" s="10"/>
      <c r="B845" s="29"/>
      <c r="C845" s="30"/>
      <c r="D845" s="30"/>
      <c r="E845" s="30"/>
      <c r="F845" s="30"/>
      <c r="G845" s="31"/>
      <c r="H845" s="10"/>
    </row>
    <row r="846" ht="17.25" customHeight="1">
      <c r="A846" s="10"/>
      <c r="B846" s="29"/>
      <c r="C846" s="30"/>
      <c r="D846" s="30"/>
      <c r="E846" s="30"/>
      <c r="F846" s="30"/>
      <c r="G846" s="31"/>
      <c r="H846" s="10"/>
    </row>
    <row r="847" ht="17.25" customHeight="1">
      <c r="A847" s="10"/>
      <c r="B847" s="29"/>
      <c r="C847" s="30"/>
      <c r="D847" s="30"/>
      <c r="E847" s="30"/>
      <c r="F847" s="30"/>
      <c r="G847" s="31"/>
      <c r="H847" s="10"/>
    </row>
    <row r="848" ht="17.25" customHeight="1">
      <c r="A848" s="10"/>
      <c r="B848" s="29"/>
      <c r="C848" s="30"/>
      <c r="D848" s="30"/>
      <c r="E848" s="30"/>
      <c r="F848" s="30"/>
      <c r="G848" s="31"/>
      <c r="H848" s="10"/>
    </row>
    <row r="849" ht="17.25" customHeight="1">
      <c r="A849" s="10"/>
      <c r="B849" s="29"/>
      <c r="C849" s="30"/>
      <c r="D849" s="30"/>
      <c r="E849" s="30"/>
      <c r="F849" s="30"/>
      <c r="G849" s="31"/>
      <c r="H849" s="10"/>
    </row>
    <row r="850" ht="17.25" customHeight="1">
      <c r="A850" s="10"/>
      <c r="B850" s="29"/>
      <c r="C850" s="30"/>
      <c r="D850" s="30"/>
      <c r="E850" s="30"/>
      <c r="F850" s="30"/>
      <c r="G850" s="31"/>
      <c r="H850" s="10"/>
    </row>
    <row r="851" ht="17.25" customHeight="1">
      <c r="A851" s="10"/>
      <c r="B851" s="29"/>
      <c r="C851" s="30"/>
      <c r="D851" s="30"/>
      <c r="E851" s="30"/>
      <c r="F851" s="30"/>
      <c r="G851" s="31"/>
      <c r="H851" s="10"/>
    </row>
    <row r="852" ht="17.25" customHeight="1">
      <c r="A852" s="10"/>
      <c r="B852" s="29"/>
      <c r="C852" s="30"/>
      <c r="D852" s="30"/>
      <c r="E852" s="30"/>
      <c r="F852" s="30"/>
      <c r="G852" s="31"/>
      <c r="H852" s="10"/>
    </row>
    <row r="853" ht="17.25" customHeight="1">
      <c r="A853" s="10"/>
      <c r="B853" s="29"/>
      <c r="C853" s="30"/>
      <c r="D853" s="30"/>
      <c r="E853" s="30"/>
      <c r="F853" s="30"/>
      <c r="G853" s="31"/>
      <c r="H853" s="10"/>
    </row>
    <row r="854" ht="17.25" customHeight="1">
      <c r="A854" s="10"/>
      <c r="B854" s="29"/>
      <c r="C854" s="30"/>
      <c r="D854" s="30"/>
      <c r="E854" s="30"/>
      <c r="F854" s="30"/>
      <c r="G854" s="31"/>
      <c r="H854" s="10"/>
    </row>
    <row r="855" ht="17.25" customHeight="1">
      <c r="A855" s="10"/>
      <c r="B855" s="29"/>
      <c r="C855" s="30"/>
      <c r="D855" s="30"/>
      <c r="E855" s="30"/>
      <c r="F855" s="30"/>
      <c r="G855" s="31"/>
      <c r="H855" s="10"/>
    </row>
    <row r="856" ht="17.25" customHeight="1">
      <c r="A856" s="10"/>
      <c r="B856" s="29"/>
      <c r="C856" s="30"/>
      <c r="D856" s="30"/>
      <c r="E856" s="30"/>
      <c r="F856" s="30"/>
      <c r="G856" s="31"/>
      <c r="H856" s="10"/>
    </row>
    <row r="857" ht="17.25" customHeight="1">
      <c r="A857" s="10"/>
      <c r="B857" s="29"/>
      <c r="C857" s="30"/>
      <c r="D857" s="30"/>
      <c r="E857" s="30"/>
      <c r="F857" s="30"/>
      <c r="G857" s="31"/>
      <c r="H857" s="10"/>
    </row>
    <row r="858" ht="17.25" customHeight="1">
      <c r="A858" s="10"/>
      <c r="B858" s="29"/>
      <c r="C858" s="30"/>
      <c r="D858" s="30"/>
      <c r="E858" s="30"/>
      <c r="F858" s="30"/>
      <c r="G858" s="31"/>
      <c r="H858" s="10"/>
    </row>
    <row r="859" ht="17.25" customHeight="1">
      <c r="A859" s="10"/>
      <c r="B859" s="29"/>
      <c r="C859" s="30"/>
      <c r="D859" s="30"/>
      <c r="E859" s="30"/>
      <c r="F859" s="30"/>
      <c r="G859" s="31"/>
      <c r="H859" s="10"/>
    </row>
    <row r="860" ht="17.25" customHeight="1">
      <c r="A860" s="10"/>
      <c r="B860" s="29"/>
      <c r="C860" s="30"/>
      <c r="D860" s="30"/>
      <c r="E860" s="30"/>
      <c r="F860" s="30"/>
      <c r="G860" s="31"/>
      <c r="H860" s="10"/>
    </row>
    <row r="861" ht="17.25" customHeight="1">
      <c r="A861" s="10"/>
      <c r="B861" s="29"/>
      <c r="C861" s="30"/>
      <c r="D861" s="30"/>
      <c r="E861" s="30"/>
      <c r="F861" s="30"/>
      <c r="G861" s="31"/>
      <c r="H861" s="10"/>
    </row>
    <row r="862" ht="17.25" customHeight="1">
      <c r="A862" s="10"/>
      <c r="B862" s="29"/>
      <c r="C862" s="30"/>
      <c r="D862" s="30"/>
      <c r="E862" s="30"/>
      <c r="F862" s="30"/>
      <c r="G862" s="31"/>
      <c r="H862" s="10"/>
    </row>
    <row r="863" ht="17.25" customHeight="1">
      <c r="A863" s="10"/>
      <c r="B863" s="29"/>
      <c r="C863" s="30"/>
      <c r="D863" s="30"/>
      <c r="E863" s="30"/>
      <c r="F863" s="30"/>
      <c r="G863" s="31"/>
      <c r="H863" s="10"/>
    </row>
    <row r="864" ht="17.25" customHeight="1">
      <c r="A864" s="10"/>
      <c r="B864" s="29"/>
      <c r="C864" s="30"/>
      <c r="D864" s="30"/>
      <c r="E864" s="30"/>
      <c r="F864" s="30"/>
      <c r="G864" s="31"/>
      <c r="H864" s="10"/>
    </row>
    <row r="865" ht="17.25" customHeight="1">
      <c r="A865" s="10"/>
      <c r="B865" s="29"/>
      <c r="C865" s="30"/>
      <c r="D865" s="30"/>
      <c r="E865" s="30"/>
      <c r="F865" s="30"/>
      <c r="G865" s="31"/>
      <c r="H865" s="10"/>
    </row>
    <row r="866" ht="17.25" customHeight="1">
      <c r="A866" s="10"/>
      <c r="B866" s="29"/>
      <c r="C866" s="30"/>
      <c r="D866" s="30"/>
      <c r="E866" s="30"/>
      <c r="F866" s="30"/>
      <c r="G866" s="31"/>
      <c r="H866" s="10"/>
    </row>
    <row r="867" ht="17.25" customHeight="1">
      <c r="A867" s="10"/>
      <c r="B867" s="29"/>
      <c r="C867" s="30"/>
      <c r="D867" s="30"/>
      <c r="E867" s="30"/>
      <c r="F867" s="30"/>
      <c r="G867" s="31"/>
      <c r="H867" s="10"/>
    </row>
    <row r="868" ht="17.25" customHeight="1">
      <c r="A868" s="10"/>
      <c r="B868" s="29"/>
      <c r="C868" s="30"/>
      <c r="D868" s="30"/>
      <c r="E868" s="30"/>
      <c r="F868" s="30"/>
      <c r="G868" s="31"/>
      <c r="H868" s="10"/>
    </row>
    <row r="869" ht="17.25" customHeight="1">
      <c r="A869" s="10"/>
      <c r="B869" s="29"/>
      <c r="C869" s="30"/>
      <c r="D869" s="30"/>
      <c r="E869" s="30"/>
      <c r="F869" s="30"/>
      <c r="G869" s="31"/>
      <c r="H869" s="10"/>
    </row>
    <row r="870" ht="17.25" customHeight="1">
      <c r="A870" s="10"/>
      <c r="B870" s="29"/>
      <c r="C870" s="30"/>
      <c r="D870" s="30"/>
      <c r="E870" s="30"/>
      <c r="F870" s="30"/>
      <c r="G870" s="31"/>
      <c r="H870" s="10"/>
    </row>
    <row r="871" ht="17.25" customHeight="1">
      <c r="A871" s="10"/>
      <c r="B871" s="29"/>
      <c r="C871" s="30"/>
      <c r="D871" s="30"/>
      <c r="E871" s="30"/>
      <c r="F871" s="30"/>
      <c r="G871" s="31"/>
      <c r="H871" s="10"/>
    </row>
    <row r="872" ht="17.25" customHeight="1">
      <c r="A872" s="10"/>
      <c r="B872" s="29"/>
      <c r="C872" s="30"/>
      <c r="D872" s="30"/>
      <c r="E872" s="30"/>
      <c r="F872" s="30"/>
      <c r="G872" s="31"/>
      <c r="H872" s="10"/>
    </row>
    <row r="873" ht="17.25" customHeight="1">
      <c r="A873" s="10"/>
      <c r="B873" s="29"/>
      <c r="C873" s="30"/>
      <c r="D873" s="30"/>
      <c r="E873" s="30"/>
      <c r="F873" s="30"/>
      <c r="G873" s="31"/>
      <c r="H873" s="10"/>
    </row>
    <row r="874" ht="17.25" customHeight="1">
      <c r="A874" s="10"/>
      <c r="B874" s="29"/>
      <c r="C874" s="30"/>
      <c r="D874" s="30"/>
      <c r="E874" s="30"/>
      <c r="F874" s="30"/>
      <c r="G874" s="31"/>
      <c r="H874" s="10"/>
    </row>
    <row r="875" ht="17.25" customHeight="1">
      <c r="A875" s="10"/>
      <c r="B875" s="29"/>
      <c r="C875" s="30"/>
      <c r="D875" s="30"/>
      <c r="E875" s="30"/>
      <c r="F875" s="30"/>
      <c r="G875" s="31"/>
      <c r="H875" s="10"/>
    </row>
    <row r="876" ht="17.25" customHeight="1">
      <c r="A876" s="10"/>
      <c r="B876" s="29"/>
      <c r="C876" s="30"/>
      <c r="D876" s="30"/>
      <c r="E876" s="30"/>
      <c r="F876" s="30"/>
      <c r="G876" s="31"/>
      <c r="H876" s="10"/>
    </row>
    <row r="877" ht="17.25" customHeight="1">
      <c r="A877" s="10"/>
      <c r="B877" s="29"/>
      <c r="C877" s="30"/>
      <c r="D877" s="30"/>
      <c r="E877" s="30"/>
      <c r="F877" s="30"/>
      <c r="G877" s="31"/>
      <c r="H877" s="10"/>
    </row>
    <row r="878" ht="17.25" customHeight="1">
      <c r="A878" s="10"/>
      <c r="B878" s="29"/>
      <c r="C878" s="30"/>
      <c r="D878" s="30"/>
      <c r="E878" s="30"/>
      <c r="F878" s="30"/>
      <c r="G878" s="31"/>
      <c r="H878" s="10"/>
    </row>
    <row r="879" ht="17.25" customHeight="1">
      <c r="A879" s="10"/>
      <c r="B879" s="29"/>
      <c r="C879" s="30"/>
      <c r="D879" s="30"/>
      <c r="E879" s="30"/>
      <c r="F879" s="30"/>
      <c r="G879" s="31"/>
      <c r="H879" s="10"/>
    </row>
    <row r="880" ht="17.25" customHeight="1">
      <c r="A880" s="10"/>
      <c r="B880" s="29"/>
      <c r="C880" s="30"/>
      <c r="D880" s="30"/>
      <c r="E880" s="30"/>
      <c r="F880" s="30"/>
      <c r="G880" s="31"/>
      <c r="H880" s="10"/>
    </row>
    <row r="881" ht="17.25" customHeight="1">
      <c r="A881" s="10"/>
      <c r="B881" s="29"/>
      <c r="C881" s="30"/>
      <c r="D881" s="30"/>
      <c r="E881" s="30"/>
      <c r="F881" s="30"/>
      <c r="G881" s="31"/>
      <c r="H881" s="10"/>
    </row>
    <row r="882" ht="17.25" customHeight="1">
      <c r="A882" s="10"/>
      <c r="B882" s="29"/>
      <c r="C882" s="30"/>
      <c r="D882" s="30"/>
      <c r="E882" s="30"/>
      <c r="F882" s="30"/>
      <c r="G882" s="31"/>
      <c r="H882" s="10"/>
    </row>
    <row r="883" ht="17.25" customHeight="1">
      <c r="A883" s="10"/>
      <c r="B883" s="29"/>
      <c r="C883" s="30"/>
      <c r="D883" s="30"/>
      <c r="E883" s="30"/>
      <c r="F883" s="30"/>
      <c r="G883" s="31"/>
      <c r="H883" s="10"/>
    </row>
    <row r="884" ht="17.25" customHeight="1">
      <c r="A884" s="10"/>
      <c r="B884" s="29"/>
      <c r="C884" s="30"/>
      <c r="D884" s="30"/>
      <c r="E884" s="30"/>
      <c r="F884" s="30"/>
      <c r="G884" s="31"/>
      <c r="H884" s="10"/>
    </row>
    <row r="885" ht="17.25" customHeight="1">
      <c r="A885" s="10"/>
      <c r="B885" s="29"/>
      <c r="C885" s="30"/>
      <c r="D885" s="30"/>
      <c r="E885" s="30"/>
      <c r="F885" s="30"/>
      <c r="G885" s="31"/>
      <c r="H885" s="10"/>
    </row>
    <row r="886" ht="17.25" customHeight="1">
      <c r="A886" s="10"/>
      <c r="B886" s="29"/>
      <c r="C886" s="30"/>
      <c r="D886" s="30"/>
      <c r="E886" s="30"/>
      <c r="F886" s="30"/>
      <c r="G886" s="31"/>
      <c r="H886" s="10"/>
    </row>
    <row r="887" ht="17.25" customHeight="1">
      <c r="A887" s="10"/>
      <c r="B887" s="29"/>
      <c r="C887" s="30"/>
      <c r="D887" s="30"/>
      <c r="E887" s="30"/>
      <c r="F887" s="30"/>
      <c r="G887" s="31"/>
      <c r="H887" s="10"/>
    </row>
    <row r="888" ht="17.25" customHeight="1">
      <c r="A888" s="10"/>
      <c r="B888" s="29"/>
      <c r="C888" s="30"/>
      <c r="D888" s="30"/>
      <c r="E888" s="30"/>
      <c r="F888" s="30"/>
      <c r="G888" s="31"/>
      <c r="H888" s="10"/>
    </row>
    <row r="889" ht="17.25" customHeight="1">
      <c r="A889" s="10"/>
      <c r="B889" s="29"/>
      <c r="C889" s="30"/>
      <c r="D889" s="30"/>
      <c r="E889" s="30"/>
      <c r="F889" s="30"/>
      <c r="G889" s="31"/>
      <c r="H889" s="10"/>
    </row>
    <row r="890" ht="17.25" customHeight="1">
      <c r="A890" s="10"/>
      <c r="B890" s="29"/>
      <c r="C890" s="30"/>
      <c r="D890" s="30"/>
      <c r="E890" s="30"/>
      <c r="F890" s="30"/>
      <c r="G890" s="31"/>
      <c r="H890" s="10"/>
    </row>
    <row r="891" ht="17.25" customHeight="1">
      <c r="A891" s="10"/>
      <c r="B891" s="29"/>
      <c r="C891" s="30"/>
      <c r="D891" s="30"/>
      <c r="E891" s="30"/>
      <c r="F891" s="30"/>
      <c r="G891" s="31"/>
      <c r="H891" s="10"/>
    </row>
    <row r="892" ht="17.25" customHeight="1">
      <c r="A892" s="10"/>
      <c r="B892" s="29"/>
      <c r="C892" s="30"/>
      <c r="D892" s="30"/>
      <c r="E892" s="30"/>
      <c r="F892" s="30"/>
      <c r="G892" s="31"/>
      <c r="H892" s="10"/>
    </row>
    <row r="893" ht="17.25" customHeight="1">
      <c r="A893" s="10"/>
      <c r="B893" s="29"/>
      <c r="C893" s="30"/>
      <c r="D893" s="30"/>
      <c r="E893" s="30"/>
      <c r="F893" s="30"/>
      <c r="G893" s="31"/>
      <c r="H893" s="10"/>
    </row>
    <row r="894" ht="17.25" customHeight="1">
      <c r="A894" s="10"/>
      <c r="B894" s="29"/>
      <c r="C894" s="30"/>
      <c r="D894" s="30"/>
      <c r="E894" s="30"/>
      <c r="F894" s="30"/>
      <c r="G894" s="31"/>
      <c r="H894" s="10"/>
    </row>
    <row r="895" ht="17.25" customHeight="1">
      <c r="A895" s="10"/>
      <c r="B895" s="29"/>
      <c r="C895" s="30"/>
      <c r="D895" s="30"/>
      <c r="E895" s="30"/>
      <c r="F895" s="30"/>
      <c r="G895" s="31"/>
      <c r="H895" s="10"/>
    </row>
    <row r="896" ht="17.25" customHeight="1">
      <c r="A896" s="10"/>
      <c r="B896" s="29"/>
      <c r="C896" s="30"/>
      <c r="D896" s="30"/>
      <c r="E896" s="30"/>
      <c r="F896" s="30"/>
      <c r="G896" s="31"/>
      <c r="H896" s="10"/>
    </row>
    <row r="897" ht="17.25" customHeight="1">
      <c r="A897" s="10"/>
      <c r="B897" s="29"/>
      <c r="C897" s="30"/>
      <c r="D897" s="30"/>
      <c r="E897" s="30"/>
      <c r="F897" s="30"/>
      <c r="G897" s="31"/>
      <c r="H897" s="10"/>
    </row>
    <row r="898" ht="17.25" customHeight="1">
      <c r="A898" s="10"/>
      <c r="B898" s="29"/>
      <c r="C898" s="30"/>
      <c r="D898" s="30"/>
      <c r="E898" s="30"/>
      <c r="F898" s="30"/>
      <c r="G898" s="31"/>
      <c r="H898" s="10"/>
    </row>
    <row r="899" ht="17.25" customHeight="1">
      <c r="A899" s="10"/>
      <c r="B899" s="29"/>
      <c r="C899" s="30"/>
      <c r="D899" s="30"/>
      <c r="E899" s="30"/>
      <c r="F899" s="30"/>
      <c r="G899" s="31"/>
      <c r="H899" s="10"/>
    </row>
    <row r="900" ht="17.25" customHeight="1">
      <c r="A900" s="10"/>
      <c r="B900" s="29"/>
      <c r="C900" s="30"/>
      <c r="D900" s="30"/>
      <c r="E900" s="30"/>
      <c r="F900" s="30"/>
      <c r="G900" s="31"/>
      <c r="H900" s="10"/>
    </row>
    <row r="901" ht="17.25" customHeight="1">
      <c r="A901" s="10"/>
      <c r="B901" s="29"/>
      <c r="C901" s="30"/>
      <c r="D901" s="30"/>
      <c r="E901" s="30"/>
      <c r="F901" s="30"/>
      <c r="G901" s="31"/>
      <c r="H901" s="10"/>
    </row>
    <row r="902" ht="17.25" customHeight="1">
      <c r="A902" s="10"/>
      <c r="B902" s="29"/>
      <c r="C902" s="30"/>
      <c r="D902" s="30"/>
      <c r="E902" s="30"/>
      <c r="F902" s="30"/>
      <c r="G902" s="31"/>
      <c r="H902" s="10"/>
    </row>
    <row r="903" ht="17.25" customHeight="1">
      <c r="A903" s="10"/>
      <c r="B903" s="29"/>
      <c r="C903" s="30"/>
      <c r="D903" s="30"/>
      <c r="E903" s="30"/>
      <c r="F903" s="30"/>
      <c r="G903" s="31"/>
      <c r="H903" s="10"/>
    </row>
    <row r="904" ht="17.25" customHeight="1">
      <c r="A904" s="10"/>
      <c r="B904" s="29"/>
      <c r="C904" s="30"/>
      <c r="D904" s="30"/>
      <c r="E904" s="30"/>
      <c r="F904" s="30"/>
      <c r="G904" s="31"/>
      <c r="H904" s="10"/>
    </row>
    <row r="905" ht="17.25" customHeight="1">
      <c r="A905" s="10"/>
      <c r="B905" s="29"/>
      <c r="C905" s="30"/>
      <c r="D905" s="30"/>
      <c r="E905" s="30"/>
      <c r="F905" s="30"/>
      <c r="G905" s="31"/>
      <c r="H905" s="10"/>
    </row>
    <row r="906" ht="17.25" customHeight="1">
      <c r="A906" s="10"/>
      <c r="B906" s="29"/>
      <c r="C906" s="30"/>
      <c r="D906" s="30"/>
      <c r="E906" s="30"/>
      <c r="F906" s="30"/>
      <c r="G906" s="31"/>
      <c r="H906" s="10"/>
    </row>
    <row r="907" ht="17.25" customHeight="1">
      <c r="A907" s="10"/>
      <c r="B907" s="29"/>
      <c r="C907" s="30"/>
      <c r="D907" s="30"/>
      <c r="E907" s="30"/>
      <c r="F907" s="30"/>
      <c r="G907" s="31"/>
      <c r="H907" s="10"/>
    </row>
    <row r="908" ht="17.25" customHeight="1">
      <c r="A908" s="10"/>
      <c r="B908" s="29"/>
      <c r="C908" s="30"/>
      <c r="D908" s="30"/>
      <c r="E908" s="30"/>
      <c r="F908" s="30"/>
      <c r="G908" s="31"/>
      <c r="H908" s="10"/>
    </row>
    <row r="909" ht="17.25" customHeight="1">
      <c r="A909" s="10"/>
      <c r="B909" s="29"/>
      <c r="C909" s="30"/>
      <c r="D909" s="30"/>
      <c r="E909" s="30"/>
      <c r="F909" s="30"/>
      <c r="G909" s="31"/>
      <c r="H909" s="10"/>
    </row>
    <row r="910" ht="17.25" customHeight="1">
      <c r="A910" s="10"/>
      <c r="B910" s="29"/>
      <c r="C910" s="30"/>
      <c r="D910" s="30"/>
      <c r="E910" s="30"/>
      <c r="F910" s="30"/>
      <c r="G910" s="31"/>
      <c r="H910" s="10"/>
    </row>
    <row r="911" ht="17.25" customHeight="1">
      <c r="A911" s="10"/>
      <c r="B911" s="29"/>
      <c r="C911" s="30"/>
      <c r="D911" s="30"/>
      <c r="E911" s="30"/>
      <c r="F911" s="30"/>
      <c r="G911" s="31"/>
      <c r="H911" s="10"/>
    </row>
    <row r="912" ht="17.25" customHeight="1">
      <c r="A912" s="10"/>
      <c r="B912" s="29"/>
      <c r="C912" s="30"/>
      <c r="D912" s="30"/>
      <c r="E912" s="30"/>
      <c r="F912" s="30"/>
      <c r="G912" s="31"/>
      <c r="H912" s="10"/>
    </row>
    <row r="913" ht="17.25" customHeight="1">
      <c r="A913" s="10"/>
      <c r="B913" s="29"/>
      <c r="C913" s="30"/>
      <c r="D913" s="30"/>
      <c r="E913" s="30"/>
      <c r="F913" s="30"/>
      <c r="G913" s="31"/>
      <c r="H913" s="10"/>
    </row>
    <row r="914" ht="17.25" customHeight="1">
      <c r="A914" s="10"/>
      <c r="B914" s="29"/>
      <c r="C914" s="30"/>
      <c r="D914" s="30"/>
      <c r="E914" s="30"/>
      <c r="F914" s="30"/>
      <c r="G914" s="31"/>
      <c r="H914" s="10"/>
    </row>
    <row r="915" ht="17.25" customHeight="1">
      <c r="A915" s="10"/>
      <c r="B915" s="29"/>
      <c r="C915" s="30"/>
      <c r="D915" s="30"/>
      <c r="E915" s="30"/>
      <c r="F915" s="30"/>
      <c r="G915" s="31"/>
      <c r="H915" s="10"/>
    </row>
    <row r="916" ht="17.25" customHeight="1">
      <c r="A916" s="10"/>
      <c r="B916" s="29"/>
      <c r="C916" s="30"/>
      <c r="D916" s="30"/>
      <c r="E916" s="30"/>
      <c r="F916" s="30"/>
      <c r="G916" s="31"/>
      <c r="H916" s="10"/>
    </row>
    <row r="917" ht="17.25" customHeight="1">
      <c r="A917" s="10"/>
      <c r="B917" s="29"/>
      <c r="C917" s="30"/>
      <c r="D917" s="30"/>
      <c r="E917" s="30"/>
      <c r="F917" s="30"/>
      <c r="G917" s="31"/>
      <c r="H917" s="10"/>
    </row>
    <row r="918" ht="17.25" customHeight="1">
      <c r="A918" s="10"/>
      <c r="B918" s="29"/>
      <c r="C918" s="30"/>
      <c r="D918" s="30"/>
      <c r="E918" s="30"/>
      <c r="F918" s="30"/>
      <c r="G918" s="31"/>
      <c r="H918" s="10"/>
    </row>
    <row r="919" ht="17.25" customHeight="1">
      <c r="A919" s="10"/>
      <c r="B919" s="29"/>
      <c r="C919" s="30"/>
      <c r="D919" s="30"/>
      <c r="E919" s="30"/>
      <c r="F919" s="30"/>
      <c r="G919" s="31"/>
      <c r="H919" s="10"/>
    </row>
    <row r="920" ht="17.25" customHeight="1">
      <c r="A920" s="10"/>
      <c r="B920" s="29"/>
      <c r="C920" s="30"/>
      <c r="D920" s="30"/>
      <c r="E920" s="30"/>
      <c r="F920" s="30"/>
      <c r="G920" s="31"/>
      <c r="H920" s="10"/>
    </row>
    <row r="921" ht="17.25" customHeight="1">
      <c r="A921" s="10"/>
      <c r="B921" s="29"/>
      <c r="C921" s="30"/>
      <c r="D921" s="30"/>
      <c r="E921" s="30"/>
      <c r="F921" s="30"/>
      <c r="G921" s="31"/>
      <c r="H921" s="10"/>
    </row>
    <row r="922" ht="17.25" customHeight="1">
      <c r="A922" s="10"/>
      <c r="B922" s="29"/>
      <c r="C922" s="30"/>
      <c r="D922" s="30"/>
      <c r="E922" s="30"/>
      <c r="F922" s="30"/>
      <c r="G922" s="31"/>
      <c r="H922" s="10"/>
    </row>
    <row r="923" ht="17.25" customHeight="1">
      <c r="A923" s="10"/>
      <c r="B923" s="29"/>
      <c r="C923" s="30"/>
      <c r="D923" s="30"/>
      <c r="E923" s="30"/>
      <c r="F923" s="30"/>
      <c r="G923" s="31"/>
      <c r="H923" s="10"/>
    </row>
    <row r="924" ht="17.25" customHeight="1">
      <c r="A924" s="10"/>
      <c r="B924" s="29"/>
      <c r="C924" s="30"/>
      <c r="D924" s="30"/>
      <c r="E924" s="30"/>
      <c r="F924" s="30"/>
      <c r="G924" s="31"/>
      <c r="H924" s="10"/>
    </row>
    <row r="925" ht="17.25" customHeight="1">
      <c r="A925" s="10"/>
      <c r="B925" s="29"/>
      <c r="C925" s="30"/>
      <c r="D925" s="30"/>
      <c r="E925" s="30"/>
      <c r="F925" s="30"/>
      <c r="G925" s="31"/>
      <c r="H925" s="10"/>
    </row>
    <row r="926" ht="17.25" customHeight="1">
      <c r="A926" s="10"/>
      <c r="B926" s="29"/>
      <c r="C926" s="30"/>
      <c r="D926" s="30"/>
      <c r="E926" s="30"/>
      <c r="F926" s="30"/>
      <c r="G926" s="31"/>
      <c r="H926" s="10"/>
    </row>
    <row r="927" ht="17.25" customHeight="1">
      <c r="A927" s="10"/>
      <c r="B927" s="29"/>
      <c r="C927" s="30"/>
      <c r="D927" s="30"/>
      <c r="E927" s="30"/>
      <c r="F927" s="30"/>
      <c r="G927" s="31"/>
      <c r="H927" s="10"/>
    </row>
    <row r="928" ht="17.25" customHeight="1">
      <c r="A928" s="10"/>
      <c r="B928" s="29"/>
      <c r="C928" s="30"/>
      <c r="D928" s="30"/>
      <c r="E928" s="30"/>
      <c r="F928" s="30"/>
      <c r="G928" s="31"/>
      <c r="H928" s="10"/>
    </row>
    <row r="929" ht="17.25" customHeight="1">
      <c r="A929" s="10"/>
      <c r="B929" s="29"/>
      <c r="C929" s="30"/>
      <c r="D929" s="30"/>
      <c r="E929" s="30"/>
      <c r="F929" s="30"/>
      <c r="G929" s="31"/>
      <c r="H929" s="10"/>
    </row>
    <row r="930" ht="17.25" customHeight="1">
      <c r="A930" s="10"/>
      <c r="B930" s="29"/>
      <c r="C930" s="30"/>
      <c r="D930" s="30"/>
      <c r="E930" s="30"/>
      <c r="F930" s="30"/>
      <c r="G930" s="31"/>
      <c r="H930" s="10"/>
    </row>
    <row r="931" ht="17.25" customHeight="1">
      <c r="A931" s="10"/>
      <c r="B931" s="29"/>
      <c r="C931" s="30"/>
      <c r="D931" s="30"/>
      <c r="E931" s="30"/>
      <c r="F931" s="30"/>
      <c r="G931" s="31"/>
      <c r="H931" s="10"/>
    </row>
    <row r="932" ht="17.25" customHeight="1">
      <c r="A932" s="10"/>
      <c r="B932" s="29"/>
      <c r="C932" s="30"/>
      <c r="D932" s="30"/>
      <c r="E932" s="30"/>
      <c r="F932" s="30"/>
      <c r="G932" s="31"/>
      <c r="H932" s="10"/>
    </row>
    <row r="933" ht="17.25" customHeight="1">
      <c r="A933" s="10"/>
      <c r="B933" s="29"/>
      <c r="C933" s="30"/>
      <c r="D933" s="30"/>
      <c r="E933" s="30"/>
      <c r="F933" s="30"/>
      <c r="G933" s="31"/>
      <c r="H933" s="10"/>
    </row>
    <row r="934" ht="17.25" customHeight="1">
      <c r="A934" s="10"/>
      <c r="B934" s="29"/>
      <c r="C934" s="30"/>
      <c r="D934" s="30"/>
      <c r="E934" s="30"/>
      <c r="F934" s="30"/>
      <c r="G934" s="31"/>
      <c r="H934" s="10"/>
    </row>
    <row r="935" ht="17.25" customHeight="1">
      <c r="A935" s="10"/>
      <c r="B935" s="29"/>
      <c r="C935" s="30"/>
      <c r="D935" s="30"/>
      <c r="E935" s="30"/>
      <c r="F935" s="30"/>
      <c r="G935" s="31"/>
      <c r="H935" s="10"/>
    </row>
    <row r="936" ht="17.25" customHeight="1">
      <c r="A936" s="10"/>
      <c r="B936" s="29"/>
      <c r="C936" s="30"/>
      <c r="D936" s="30"/>
      <c r="E936" s="30"/>
      <c r="F936" s="30"/>
      <c r="G936" s="31"/>
      <c r="H936" s="10"/>
    </row>
    <row r="937" ht="17.25" customHeight="1">
      <c r="A937" s="10"/>
      <c r="B937" s="29"/>
      <c r="C937" s="30"/>
      <c r="D937" s="30"/>
      <c r="E937" s="30"/>
      <c r="F937" s="30"/>
      <c r="G937" s="31"/>
      <c r="H937" s="10"/>
    </row>
    <row r="938" ht="17.25" customHeight="1">
      <c r="A938" s="10"/>
      <c r="B938" s="29"/>
      <c r="C938" s="30"/>
      <c r="D938" s="30"/>
      <c r="E938" s="30"/>
      <c r="F938" s="30"/>
      <c r="G938" s="31"/>
      <c r="H938" s="10"/>
    </row>
    <row r="939" ht="17.25" customHeight="1">
      <c r="A939" s="10"/>
      <c r="B939" s="29"/>
      <c r="C939" s="30"/>
      <c r="D939" s="30"/>
      <c r="E939" s="30"/>
      <c r="F939" s="30"/>
      <c r="G939" s="31"/>
      <c r="H939" s="10"/>
    </row>
    <row r="940" ht="17.25" customHeight="1">
      <c r="A940" s="10"/>
      <c r="B940" s="29"/>
      <c r="C940" s="30"/>
      <c r="D940" s="30"/>
      <c r="E940" s="30"/>
      <c r="F940" s="30"/>
      <c r="G940" s="31"/>
      <c r="H940" s="10"/>
    </row>
    <row r="941" ht="17.25" customHeight="1">
      <c r="A941" s="10"/>
      <c r="B941" s="29"/>
      <c r="C941" s="30"/>
      <c r="D941" s="30"/>
      <c r="E941" s="30"/>
      <c r="F941" s="30"/>
      <c r="G941" s="31"/>
      <c r="H941" s="10"/>
    </row>
    <row r="942" ht="17.25" customHeight="1">
      <c r="A942" s="10"/>
      <c r="B942" s="29"/>
      <c r="C942" s="30"/>
      <c r="D942" s="30"/>
      <c r="E942" s="30"/>
      <c r="F942" s="30"/>
      <c r="G942" s="31"/>
      <c r="H942" s="10"/>
    </row>
    <row r="943" ht="17.25" customHeight="1">
      <c r="A943" s="10"/>
      <c r="B943" s="29"/>
      <c r="C943" s="30"/>
      <c r="D943" s="30"/>
      <c r="E943" s="30"/>
      <c r="F943" s="30"/>
      <c r="G943" s="31"/>
      <c r="H943" s="10"/>
    </row>
    <row r="944" ht="17.25" customHeight="1">
      <c r="A944" s="10"/>
      <c r="B944" s="29"/>
      <c r="C944" s="30"/>
      <c r="D944" s="30"/>
      <c r="E944" s="30"/>
      <c r="F944" s="30"/>
      <c r="G944" s="31"/>
      <c r="H944" s="10"/>
    </row>
    <row r="945" ht="17.25" customHeight="1">
      <c r="A945" s="10"/>
      <c r="B945" s="29"/>
      <c r="C945" s="30"/>
      <c r="D945" s="30"/>
      <c r="E945" s="30"/>
      <c r="F945" s="30"/>
      <c r="G945" s="31"/>
      <c r="H945" s="10"/>
    </row>
    <row r="946" ht="17.25" customHeight="1">
      <c r="A946" s="10"/>
      <c r="B946" s="29"/>
      <c r="C946" s="30"/>
      <c r="D946" s="30"/>
      <c r="E946" s="30"/>
      <c r="F946" s="30"/>
      <c r="G946" s="31"/>
      <c r="H946" s="10"/>
    </row>
    <row r="947" ht="17.25" customHeight="1">
      <c r="A947" s="10"/>
      <c r="B947" s="29"/>
      <c r="C947" s="30"/>
      <c r="D947" s="30"/>
      <c r="E947" s="30"/>
      <c r="F947" s="30"/>
      <c r="G947" s="31"/>
      <c r="H947" s="10"/>
    </row>
    <row r="948" ht="17.25" customHeight="1">
      <c r="A948" s="10"/>
      <c r="B948" s="29"/>
      <c r="C948" s="30"/>
      <c r="D948" s="30"/>
      <c r="E948" s="30"/>
      <c r="F948" s="30"/>
      <c r="G948" s="31"/>
      <c r="H948" s="10"/>
    </row>
    <row r="949" ht="17.25" customHeight="1">
      <c r="A949" s="10"/>
      <c r="B949" s="29"/>
      <c r="C949" s="30"/>
      <c r="D949" s="30"/>
      <c r="E949" s="30"/>
      <c r="F949" s="30"/>
      <c r="G949" s="31"/>
      <c r="H949" s="10"/>
    </row>
    <row r="950" ht="17.25" customHeight="1">
      <c r="A950" s="10"/>
      <c r="B950" s="29"/>
      <c r="C950" s="30"/>
      <c r="D950" s="30"/>
      <c r="E950" s="30"/>
      <c r="F950" s="30"/>
      <c r="G950" s="31"/>
      <c r="H950" s="10"/>
    </row>
    <row r="951" ht="17.25" customHeight="1">
      <c r="A951" s="10"/>
      <c r="B951" s="29"/>
      <c r="C951" s="30"/>
      <c r="D951" s="30"/>
      <c r="E951" s="30"/>
      <c r="F951" s="30"/>
      <c r="G951" s="31"/>
      <c r="H951" s="10"/>
    </row>
    <row r="952" ht="17.25" customHeight="1">
      <c r="A952" s="10"/>
      <c r="B952" s="29"/>
      <c r="C952" s="30"/>
      <c r="D952" s="30"/>
      <c r="E952" s="30"/>
      <c r="F952" s="30"/>
      <c r="G952" s="31"/>
      <c r="H952" s="10"/>
    </row>
    <row r="953" ht="17.25" customHeight="1">
      <c r="A953" s="10"/>
      <c r="B953" s="29"/>
      <c r="C953" s="30"/>
      <c r="D953" s="30"/>
      <c r="E953" s="30"/>
      <c r="F953" s="30"/>
      <c r="G953" s="31"/>
      <c r="H953" s="10"/>
    </row>
    <row r="954" ht="17.25" customHeight="1">
      <c r="A954" s="10"/>
      <c r="B954" s="29"/>
      <c r="C954" s="30"/>
      <c r="D954" s="30"/>
      <c r="E954" s="30"/>
      <c r="F954" s="30"/>
      <c r="G954" s="31"/>
      <c r="H954" s="10"/>
    </row>
    <row r="955" ht="17.25" customHeight="1">
      <c r="A955" s="10"/>
      <c r="B955" s="29"/>
      <c r="C955" s="30"/>
      <c r="D955" s="30"/>
      <c r="E955" s="30"/>
      <c r="F955" s="30"/>
      <c r="G955" s="31"/>
      <c r="H955" s="10"/>
    </row>
    <row r="956" ht="17.25" customHeight="1">
      <c r="A956" s="10"/>
      <c r="B956" s="29"/>
      <c r="C956" s="30"/>
      <c r="D956" s="30"/>
      <c r="E956" s="30"/>
      <c r="F956" s="30"/>
      <c r="G956" s="31"/>
      <c r="H956" s="10"/>
    </row>
    <row r="957" ht="17.25" customHeight="1">
      <c r="A957" s="10"/>
      <c r="B957" s="29"/>
      <c r="C957" s="30"/>
      <c r="D957" s="30"/>
      <c r="E957" s="30"/>
      <c r="F957" s="30"/>
      <c r="G957" s="31"/>
      <c r="H957" s="10"/>
    </row>
    <row r="958" ht="17.25" customHeight="1">
      <c r="A958" s="10"/>
      <c r="B958" s="29"/>
      <c r="C958" s="30"/>
      <c r="D958" s="30"/>
      <c r="E958" s="30"/>
      <c r="F958" s="30"/>
      <c r="G958" s="31"/>
      <c r="H958" s="10"/>
    </row>
    <row r="959" ht="17.25" customHeight="1">
      <c r="A959" s="10"/>
      <c r="B959" s="29"/>
      <c r="C959" s="30"/>
      <c r="D959" s="30"/>
      <c r="E959" s="30"/>
      <c r="F959" s="30"/>
      <c r="G959" s="31"/>
      <c r="H959" s="10"/>
    </row>
    <row r="960" ht="17.25" customHeight="1">
      <c r="A960" s="10"/>
      <c r="B960" s="29"/>
      <c r="C960" s="30"/>
      <c r="D960" s="30"/>
      <c r="E960" s="30"/>
      <c r="F960" s="30"/>
      <c r="G960" s="31"/>
      <c r="H960" s="10"/>
    </row>
    <row r="961" ht="17.25" customHeight="1">
      <c r="A961" s="10"/>
      <c r="B961" s="29"/>
      <c r="C961" s="30"/>
      <c r="D961" s="30"/>
      <c r="E961" s="30"/>
      <c r="F961" s="30"/>
      <c r="G961" s="31"/>
      <c r="H961" s="10"/>
    </row>
    <row r="962" ht="17.25" customHeight="1">
      <c r="A962" s="10"/>
      <c r="B962" s="29"/>
      <c r="C962" s="30"/>
      <c r="D962" s="30"/>
      <c r="E962" s="30"/>
      <c r="F962" s="30"/>
      <c r="G962" s="31"/>
      <c r="H962" s="10"/>
    </row>
    <row r="963" ht="17.25" customHeight="1">
      <c r="A963" s="10"/>
      <c r="B963" s="29"/>
      <c r="C963" s="30"/>
      <c r="D963" s="30"/>
      <c r="E963" s="30"/>
      <c r="F963" s="30"/>
      <c r="G963" s="31"/>
      <c r="H963" s="10"/>
    </row>
    <row r="964" ht="17.25" customHeight="1">
      <c r="A964" s="10"/>
      <c r="B964" s="29"/>
      <c r="C964" s="30"/>
      <c r="D964" s="30"/>
      <c r="E964" s="30"/>
      <c r="F964" s="30"/>
      <c r="G964" s="31"/>
      <c r="H964" s="10"/>
    </row>
    <row r="965" ht="17.25" customHeight="1">
      <c r="A965" s="10"/>
      <c r="B965" s="29"/>
      <c r="C965" s="30"/>
      <c r="D965" s="30"/>
      <c r="E965" s="30"/>
      <c r="F965" s="30"/>
      <c r="G965" s="31"/>
      <c r="H965" s="10"/>
    </row>
    <row r="966" ht="17.25" customHeight="1">
      <c r="A966" s="10"/>
      <c r="B966" s="29"/>
      <c r="C966" s="30"/>
      <c r="D966" s="30"/>
      <c r="E966" s="30"/>
      <c r="F966" s="30"/>
      <c r="G966" s="31"/>
      <c r="H966" s="10"/>
    </row>
    <row r="967" ht="17.25" customHeight="1">
      <c r="A967" s="10"/>
      <c r="B967" s="29"/>
      <c r="C967" s="30"/>
      <c r="D967" s="30"/>
      <c r="E967" s="30"/>
      <c r="F967" s="30"/>
      <c r="G967" s="31"/>
      <c r="H967" s="10"/>
    </row>
    <row r="968" ht="17.25" customHeight="1">
      <c r="A968" s="10"/>
      <c r="B968" s="29"/>
      <c r="C968" s="30"/>
      <c r="D968" s="30"/>
      <c r="E968" s="30"/>
      <c r="F968" s="30"/>
      <c r="G968" s="31"/>
      <c r="H968" s="10"/>
    </row>
    <row r="969" ht="17.25" customHeight="1">
      <c r="A969" s="10"/>
      <c r="B969" s="29"/>
      <c r="C969" s="30"/>
      <c r="D969" s="30"/>
      <c r="E969" s="30"/>
      <c r="F969" s="30"/>
      <c r="G969" s="31"/>
      <c r="H969" s="10"/>
    </row>
    <row r="970" ht="17.25" customHeight="1">
      <c r="A970" s="10"/>
      <c r="B970" s="29"/>
      <c r="C970" s="30"/>
      <c r="D970" s="30"/>
      <c r="E970" s="30"/>
      <c r="F970" s="30"/>
      <c r="G970" s="31"/>
      <c r="H970" s="10"/>
    </row>
    <row r="971" ht="17.25" customHeight="1">
      <c r="A971" s="10"/>
      <c r="B971" s="29"/>
      <c r="C971" s="30"/>
      <c r="D971" s="30"/>
      <c r="E971" s="30"/>
      <c r="F971" s="30"/>
      <c r="G971" s="31"/>
      <c r="H971" s="10"/>
    </row>
    <row r="972" ht="17.25" customHeight="1">
      <c r="A972" s="10"/>
      <c r="B972" s="29"/>
      <c r="C972" s="30"/>
      <c r="D972" s="30"/>
      <c r="E972" s="30"/>
      <c r="F972" s="30"/>
      <c r="G972" s="31"/>
      <c r="H972" s="10"/>
    </row>
    <row r="973" ht="17.25" customHeight="1">
      <c r="A973" s="10"/>
      <c r="B973" s="29"/>
      <c r="C973" s="30"/>
      <c r="D973" s="30"/>
      <c r="E973" s="30"/>
      <c r="F973" s="30"/>
      <c r="G973" s="31"/>
      <c r="H973" s="10"/>
    </row>
    <row r="974" ht="17.25" customHeight="1">
      <c r="A974" s="10"/>
      <c r="B974" s="29"/>
      <c r="C974" s="30"/>
      <c r="D974" s="30"/>
      <c r="E974" s="30"/>
      <c r="F974" s="30"/>
      <c r="G974" s="31"/>
      <c r="H974" s="10"/>
    </row>
    <row r="975" ht="17.25" customHeight="1">
      <c r="A975" s="10"/>
      <c r="B975" s="29"/>
      <c r="C975" s="30"/>
      <c r="D975" s="30"/>
      <c r="E975" s="30"/>
      <c r="F975" s="30"/>
      <c r="G975" s="31"/>
      <c r="H975" s="10"/>
    </row>
    <row r="976" ht="17.25" customHeight="1">
      <c r="A976" s="10"/>
      <c r="B976" s="29"/>
      <c r="C976" s="30"/>
      <c r="D976" s="30"/>
      <c r="E976" s="30"/>
      <c r="F976" s="30"/>
      <c r="G976" s="31"/>
      <c r="H976" s="10"/>
    </row>
    <row r="977" ht="17.25" customHeight="1">
      <c r="A977" s="10"/>
      <c r="B977" s="29"/>
      <c r="C977" s="30"/>
      <c r="D977" s="30"/>
      <c r="E977" s="30"/>
      <c r="F977" s="30"/>
      <c r="G977" s="31"/>
      <c r="H977" s="10"/>
    </row>
    <row r="978" ht="17.25" customHeight="1">
      <c r="A978" s="10"/>
      <c r="B978" s="29"/>
      <c r="C978" s="30"/>
      <c r="D978" s="30"/>
      <c r="E978" s="30"/>
      <c r="F978" s="30"/>
      <c r="G978" s="31"/>
      <c r="H978" s="10"/>
    </row>
    <row r="979" ht="17.25" customHeight="1">
      <c r="A979" s="10"/>
      <c r="B979" s="29"/>
      <c r="C979" s="30"/>
      <c r="D979" s="30"/>
      <c r="E979" s="30"/>
      <c r="F979" s="30"/>
      <c r="G979" s="31"/>
      <c r="H979" s="10"/>
    </row>
    <row r="980" ht="17.25" customHeight="1">
      <c r="A980" s="10"/>
      <c r="B980" s="29"/>
      <c r="C980" s="30"/>
      <c r="D980" s="30"/>
      <c r="E980" s="30"/>
      <c r="F980" s="30"/>
      <c r="G980" s="31"/>
      <c r="H980" s="10"/>
    </row>
    <row r="981" ht="17.25" customHeight="1">
      <c r="A981" s="10"/>
      <c r="B981" s="29"/>
      <c r="C981" s="30"/>
      <c r="D981" s="30"/>
      <c r="E981" s="30"/>
      <c r="F981" s="30"/>
      <c r="G981" s="31"/>
      <c r="H981" s="10"/>
    </row>
    <row r="982" ht="17.25" customHeight="1">
      <c r="A982" s="10"/>
      <c r="B982" s="29"/>
      <c r="C982" s="30"/>
      <c r="D982" s="30"/>
      <c r="E982" s="30"/>
      <c r="F982" s="30"/>
      <c r="G982" s="31"/>
      <c r="H982" s="10"/>
    </row>
    <row r="983" ht="17.25" customHeight="1">
      <c r="A983" s="10"/>
      <c r="B983" s="29"/>
      <c r="C983" s="30"/>
      <c r="D983" s="30"/>
      <c r="E983" s="30"/>
      <c r="F983" s="30"/>
      <c r="G983" s="31"/>
      <c r="H983" s="10"/>
    </row>
    <row r="984" ht="17.25" customHeight="1">
      <c r="A984" s="10"/>
      <c r="B984" s="29"/>
      <c r="C984" s="30"/>
      <c r="D984" s="30"/>
      <c r="E984" s="30"/>
      <c r="F984" s="30"/>
      <c r="G984" s="31"/>
      <c r="H984" s="10"/>
    </row>
    <row r="985" ht="17.25" customHeight="1">
      <c r="A985" s="10"/>
      <c r="B985" s="29"/>
      <c r="C985" s="30"/>
      <c r="D985" s="30"/>
      <c r="E985" s="30"/>
      <c r="F985" s="30"/>
      <c r="G985" s="31"/>
      <c r="H985" s="10"/>
    </row>
    <row r="986" ht="17.25" customHeight="1">
      <c r="A986" s="10"/>
      <c r="B986" s="29"/>
      <c r="C986" s="30"/>
      <c r="D986" s="30"/>
      <c r="E986" s="30"/>
      <c r="F986" s="30"/>
      <c r="G986" s="31"/>
      <c r="H986" s="10"/>
    </row>
    <row r="987" ht="17.25" customHeight="1">
      <c r="A987" s="10"/>
      <c r="B987" s="29"/>
      <c r="C987" s="30"/>
      <c r="D987" s="30"/>
      <c r="E987" s="30"/>
      <c r="F987" s="30"/>
      <c r="G987" s="31"/>
      <c r="H987" s="10"/>
    </row>
    <row r="988" ht="17.25" customHeight="1">
      <c r="A988" s="10"/>
      <c r="B988" s="29"/>
      <c r="C988" s="30"/>
      <c r="D988" s="30"/>
      <c r="E988" s="30"/>
      <c r="F988" s="30"/>
      <c r="G988" s="31"/>
      <c r="H988" s="10"/>
    </row>
    <row r="989" ht="17.25" customHeight="1">
      <c r="A989" s="10"/>
      <c r="B989" s="29"/>
      <c r="C989" s="30"/>
      <c r="D989" s="30"/>
      <c r="E989" s="30"/>
      <c r="F989" s="30"/>
      <c r="G989" s="31"/>
      <c r="H989" s="10"/>
    </row>
    <row r="990" ht="17.25" customHeight="1">
      <c r="A990" s="10"/>
      <c r="B990" s="29"/>
      <c r="C990" s="30"/>
      <c r="D990" s="30"/>
      <c r="E990" s="30"/>
      <c r="F990" s="30"/>
      <c r="G990" s="31"/>
      <c r="H990" s="10"/>
    </row>
    <row r="991" ht="17.25" customHeight="1">
      <c r="A991" s="10"/>
      <c r="B991" s="29"/>
      <c r="C991" s="30"/>
      <c r="D991" s="30"/>
      <c r="E991" s="30"/>
      <c r="F991" s="30"/>
      <c r="G991" s="31"/>
      <c r="H991" s="10"/>
    </row>
    <row r="992" ht="17.25" customHeight="1">
      <c r="A992" s="10"/>
      <c r="B992" s="29"/>
      <c r="C992" s="30"/>
      <c r="D992" s="30"/>
      <c r="E992" s="30"/>
      <c r="F992" s="30"/>
      <c r="G992" s="31"/>
      <c r="H992" s="10"/>
    </row>
    <row r="993" ht="17.25" customHeight="1">
      <c r="A993" s="10"/>
      <c r="B993" s="29"/>
      <c r="C993" s="30"/>
      <c r="D993" s="30"/>
      <c r="E993" s="30"/>
      <c r="F993" s="30"/>
      <c r="G993" s="31"/>
      <c r="H993" s="10"/>
    </row>
    <row r="994" ht="17.25" customHeight="1">
      <c r="A994" s="10"/>
      <c r="B994" s="29"/>
      <c r="C994" s="30"/>
      <c r="D994" s="30"/>
      <c r="E994" s="30"/>
      <c r="F994" s="30"/>
      <c r="G994" s="31"/>
      <c r="H994" s="10"/>
    </row>
    <row r="995" ht="17.25" customHeight="1">
      <c r="A995" s="10"/>
      <c r="B995" s="29"/>
      <c r="C995" s="30"/>
      <c r="D995" s="30"/>
      <c r="E995" s="30"/>
      <c r="F995" s="30"/>
      <c r="G995" s="31"/>
      <c r="H995" s="10"/>
    </row>
    <row r="996" ht="17.25" customHeight="1">
      <c r="A996" s="10"/>
      <c r="B996" s="29"/>
      <c r="C996" s="30"/>
      <c r="D996" s="30"/>
      <c r="E996" s="30"/>
      <c r="F996" s="30"/>
      <c r="G996" s="31"/>
      <c r="H996" s="10"/>
    </row>
    <row r="997" ht="17.25" customHeight="1">
      <c r="A997" s="10"/>
      <c r="B997" s="29"/>
      <c r="C997" s="30"/>
      <c r="D997" s="30"/>
      <c r="E997" s="30"/>
      <c r="F997" s="30"/>
      <c r="G997" s="31"/>
      <c r="H997" s="10"/>
    </row>
    <row r="998" ht="17.25" customHeight="1">
      <c r="A998" s="10"/>
      <c r="B998" s="29"/>
      <c r="C998" s="30"/>
      <c r="D998" s="30"/>
      <c r="E998" s="30"/>
      <c r="F998" s="30"/>
      <c r="G998" s="31"/>
      <c r="H998" s="10"/>
    </row>
    <row r="999" ht="17.25" customHeight="1">
      <c r="A999" s="10"/>
      <c r="B999" s="29"/>
      <c r="C999" s="30"/>
      <c r="D999" s="30"/>
      <c r="E999" s="30"/>
      <c r="F999" s="30"/>
      <c r="G999" s="31"/>
      <c r="H999" s="10"/>
    </row>
    <row r="1000" ht="17.25" customHeight="1">
      <c r="A1000" s="10"/>
      <c r="B1000" s="29"/>
      <c r="C1000" s="30"/>
      <c r="D1000" s="30"/>
      <c r="E1000" s="30"/>
      <c r="F1000" s="30"/>
      <c r="G1000" s="31"/>
      <c r="H1000" s="10"/>
    </row>
  </sheetData>
  <mergeCells count="3">
    <mergeCell ref="B1:F2"/>
    <mergeCell ref="B7:G7"/>
    <mergeCell ref="B10:C10"/>
  </mergeCells>
  <conditionalFormatting sqref="F28:F1000">
    <cfRule type="expression" dxfId="0" priority="1">
      <formula>and(F28=max(F$28:F$1000),F28&gt;0)</formula>
    </cfRule>
  </conditionalFormatting>
  <conditionalFormatting sqref="F28:F1000">
    <cfRule type="expression" dxfId="1" priority="2">
      <formula>and(F28=min(F$28:F$1000),F28&gt;0)</formula>
    </cfRule>
  </conditionalFormatting>
  <conditionalFormatting sqref="F29:F1000">
    <cfRule type="expression" dxfId="2" priority="3">
      <formula>F29&gt;F27</formula>
    </cfRule>
  </conditionalFormatting>
  <conditionalFormatting sqref="F29:F1000">
    <cfRule type="expression" dxfId="3" priority="4">
      <formula>F29&lt;F27</formula>
    </cfRule>
  </conditionalFormatting>
  <conditionalFormatting sqref="D10:E10">
    <cfRule type="cellIs" dxfId="4" priority="5" operator="lessThan">
      <formula>0</formula>
    </cfRule>
  </conditionalFormatting>
  <conditionalFormatting sqref="D10:E10">
    <cfRule type="cellIs" dxfId="5" priority="6" operator="greaterThan">
      <formula>0</formula>
    </cfRule>
  </conditionalFormatting>
  <dataValidations>
    <dataValidation type="list" allowBlank="1" showInputMessage="1" showErrorMessage="1" prompt="Click and enter a value from the list of items" sqref="G15">
      <formula1>"1 Month,3 Months,6 Months,12 Months,36 Months"</formula1>
    </dataValidation>
  </dataValidations>
  <hyperlinks>
    <hyperlink r:id="rId1" ref="G2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5.38"/>
    <col customWidth="1" min="2" max="3" width="9.88"/>
    <col customWidth="1" min="4" max="4" width="26.38"/>
    <col customWidth="1" min="5" max="9" width="12.13"/>
    <col customWidth="1" min="10" max="10" width="5.38"/>
  </cols>
  <sheetData>
    <row r="1" ht="22.5" customHeight="1">
      <c r="A1" s="1"/>
      <c r="B1" s="2" t="s">
        <v>13</v>
      </c>
      <c r="I1" s="3" t="s">
        <v>1</v>
      </c>
      <c r="J1" s="1"/>
    </row>
    <row r="2" ht="22.5" customHeight="1">
      <c r="A2" s="1"/>
      <c r="I2" s="4" t="s">
        <v>2</v>
      </c>
      <c r="J2" s="1"/>
    </row>
    <row r="3" ht="12.75" customHeight="1">
      <c r="A3" s="5"/>
      <c r="B3" s="5"/>
      <c r="C3" s="5"/>
      <c r="D3" s="5"/>
      <c r="E3" s="5"/>
      <c r="F3" s="5"/>
      <c r="G3" s="5"/>
      <c r="H3" s="5"/>
      <c r="I3" s="5"/>
      <c r="J3" s="5"/>
    </row>
    <row r="4">
      <c r="A4" s="5"/>
      <c r="B4" s="32" t="s">
        <v>14</v>
      </c>
      <c r="C4" s="5"/>
      <c r="D4" s="5"/>
      <c r="E4" s="5"/>
      <c r="F4" s="5"/>
      <c r="G4" s="5"/>
      <c r="H4" s="5"/>
      <c r="I4" s="5"/>
      <c r="J4" s="5"/>
    </row>
    <row r="5" ht="16.5" customHeight="1">
      <c r="A5" s="5"/>
      <c r="B5" s="20" t="s">
        <v>15</v>
      </c>
      <c r="C5" s="5"/>
      <c r="D5" s="5"/>
      <c r="E5" s="5"/>
      <c r="F5" s="5"/>
      <c r="G5" s="5"/>
      <c r="H5" s="5"/>
      <c r="I5" s="5"/>
      <c r="J5" s="5"/>
    </row>
    <row r="6">
      <c r="A6" s="5"/>
      <c r="B6" s="33">
        <f>SUM(I9:I40)</f>
        <v>1775.05</v>
      </c>
      <c r="E6" s="5"/>
      <c r="F6" s="5"/>
      <c r="G6" s="5"/>
      <c r="H6" s="5"/>
      <c r="I6" s="5"/>
      <c r="J6" s="5"/>
    </row>
    <row r="7" ht="11.25" customHeight="1">
      <c r="A7" s="5"/>
      <c r="B7" s="5"/>
      <c r="C7" s="5"/>
      <c r="D7" s="5"/>
      <c r="E7" s="5"/>
      <c r="F7" s="5"/>
      <c r="G7" s="5"/>
      <c r="H7" s="5"/>
      <c r="I7" s="5"/>
      <c r="J7" s="5"/>
    </row>
    <row r="8" ht="31.5" customHeight="1">
      <c r="A8" s="34"/>
      <c r="B8" s="35" t="s">
        <v>16</v>
      </c>
      <c r="C8" s="35" t="s">
        <v>17</v>
      </c>
      <c r="D8" s="35" t="s">
        <v>18</v>
      </c>
      <c r="E8" s="36" t="s">
        <v>6</v>
      </c>
      <c r="F8" s="37" t="s">
        <v>19</v>
      </c>
      <c r="G8" s="36" t="s">
        <v>8</v>
      </c>
      <c r="H8" s="36" t="s">
        <v>20</v>
      </c>
      <c r="I8" s="36" t="s">
        <v>15</v>
      </c>
      <c r="J8" s="38"/>
    </row>
    <row r="9" ht="17.25" customHeight="1">
      <c r="A9" s="10"/>
      <c r="B9" s="39" t="s">
        <v>3</v>
      </c>
      <c r="C9" s="39" t="s">
        <v>21</v>
      </c>
      <c r="D9" s="10" t="str">
        <f>IFERROR(__xludf.DUMMYFUNCTION("IF(ISBLANK(B9), ""-"", GOOGLEFINANCE(IF(ISBLANK(C9), B9, C9&amp;"":""&amp;B9), ""name""))"),"Alphabet Inc Class C")</f>
        <v>Alphabet Inc Class C</v>
      </c>
      <c r="E9" s="40">
        <f>IFERROR(__xludf.DUMMYFUNCTION("IF(ISBLANK(B9), 0, GOOGLEFINANCE(IF(ISBLANK(C9), B9, C9&amp;"":""&amp;B9), ""price""))"),355.01)</f>
        <v>355.01</v>
      </c>
      <c r="F9" s="41">
        <f>IFERROR(__xludf.DUMMYFUNCTION("IF(ISBLANK(B9), 0, GOOGLEFINANCE(IF(ISBLANK(C9), B9, C9&amp;"":""&amp;B9), ""change""))"),4.34)</f>
        <v>4.34</v>
      </c>
      <c r="G9" s="42">
        <f>IFERROR(__xludf.DUMMYFUNCTION("IF(ISBLANK(B9), 0, GOOGLEFINANCE(IF(ISBLANK(C9), B9, C9&amp;"":""&amp;B9), ""changepct"")/100)"),0.0124)</f>
        <v>0.0124</v>
      </c>
      <c r="H9" s="39">
        <v>5.0</v>
      </c>
      <c r="I9" s="43">
        <f t="shared" ref="I9:I40" si="1">H9 * E9</f>
        <v>1775.05</v>
      </c>
      <c r="J9" s="44"/>
    </row>
    <row r="10" ht="17.25" customHeight="1">
      <c r="A10" s="10"/>
      <c r="B10" s="39"/>
      <c r="C10" s="39"/>
      <c r="D10" s="10" t="str">
        <f>IFERROR(__xludf.DUMMYFUNCTION("IF(ISBLANK(B10), ""-"", GOOGLEFINANCE(IF(ISBLANK(C10), B10, C10&amp;"":""&amp;B10), ""name""))"),"-")</f>
        <v>-</v>
      </c>
      <c r="E10" s="40">
        <f>IFERROR(__xludf.DUMMYFUNCTION("IF(ISBLANK(B10), 0, GOOGLEFINANCE(IF(ISBLANK(C10), B10, C10&amp;"":""&amp;B10), ""price""))"),0.0)</f>
        <v>0</v>
      </c>
      <c r="F10" s="41">
        <f>IFERROR(__xludf.DUMMYFUNCTION("IF(ISBLANK(B10), 0, GOOGLEFINANCE(IF(ISBLANK(C10), B10, C10&amp;"":""&amp;B10), ""change""))"),0.0)</f>
        <v>0</v>
      </c>
      <c r="G10" s="42">
        <f>IFERROR(__xludf.DUMMYFUNCTION("IF(ISBLANK(B10), 0, GOOGLEFINANCE(IF(ISBLANK(C10), B10, C10&amp;"":""&amp;B10), ""changepct"")/100)"),0.0)</f>
        <v>0</v>
      </c>
      <c r="H10" s="39"/>
      <c r="I10" s="43">
        <f t="shared" si="1"/>
        <v>0</v>
      </c>
      <c r="J10" s="44"/>
    </row>
    <row r="11" ht="17.25" customHeight="1">
      <c r="A11" s="10"/>
      <c r="B11" s="39"/>
      <c r="C11" s="39"/>
      <c r="D11" s="10" t="str">
        <f>IFERROR(__xludf.DUMMYFUNCTION("IF(ISBLANK(B11), ""-"", GOOGLEFINANCE(IF(ISBLANK(C11), B11, C11&amp;"":""&amp;B11), ""name""))"),"-")</f>
        <v>-</v>
      </c>
      <c r="E11" s="40">
        <f>IFERROR(__xludf.DUMMYFUNCTION("IF(ISBLANK(B11), 0, GOOGLEFINANCE(IF(ISBLANK(C11), B11, C11&amp;"":""&amp;B11), ""price""))"),0.0)</f>
        <v>0</v>
      </c>
      <c r="F11" s="41">
        <f>IFERROR(__xludf.DUMMYFUNCTION("IF(ISBLANK(B11), 0, GOOGLEFINANCE(IF(ISBLANK(C11), B11, C11&amp;"":""&amp;B11), ""change""))"),0.0)</f>
        <v>0</v>
      </c>
      <c r="G11" s="42">
        <f>IFERROR(__xludf.DUMMYFUNCTION("IF(ISBLANK(B11), 0, GOOGLEFINANCE(IF(ISBLANK(C11), B11, C11&amp;"":""&amp;B11), ""changepct"")/100)"),0.0)</f>
        <v>0</v>
      </c>
      <c r="H11" s="39"/>
      <c r="I11" s="43">
        <f t="shared" si="1"/>
        <v>0</v>
      </c>
      <c r="J11" s="44"/>
    </row>
    <row r="12" ht="17.25" customHeight="1">
      <c r="A12" s="10"/>
      <c r="B12" s="39"/>
      <c r="C12" s="39"/>
      <c r="D12" s="10" t="str">
        <f>IFERROR(__xludf.DUMMYFUNCTION("IF(ISBLANK(B12), ""-"", GOOGLEFINANCE(IF(ISBLANK(C12), B12, C12&amp;"":""&amp;B12), ""name""))"),"-")</f>
        <v>-</v>
      </c>
      <c r="E12" s="40">
        <f>IFERROR(__xludf.DUMMYFUNCTION("IF(ISBLANK(B12), 0, GOOGLEFINANCE(IF(ISBLANK(C12), B12, C12&amp;"":""&amp;B12), ""price""))"),0.0)</f>
        <v>0</v>
      </c>
      <c r="F12" s="41">
        <f>IFERROR(__xludf.DUMMYFUNCTION("IF(ISBLANK(B12), 0, GOOGLEFINANCE(IF(ISBLANK(C12), B12, C12&amp;"":""&amp;B12), ""change""))"),0.0)</f>
        <v>0</v>
      </c>
      <c r="G12" s="42">
        <f>IFERROR(__xludf.DUMMYFUNCTION("IF(ISBLANK(B12), 0, GOOGLEFINANCE(IF(ISBLANK(C12), B12, C12&amp;"":""&amp;B12), ""changepct"")/100)"),0.0)</f>
        <v>0</v>
      </c>
      <c r="H12" s="39"/>
      <c r="I12" s="43">
        <f t="shared" si="1"/>
        <v>0</v>
      </c>
      <c r="J12" s="44"/>
    </row>
    <row r="13" ht="17.25" customHeight="1">
      <c r="A13" s="10"/>
      <c r="B13" s="39"/>
      <c r="C13" s="39"/>
      <c r="D13" s="10" t="str">
        <f>IFERROR(__xludf.DUMMYFUNCTION("IF(ISBLANK(B13), ""-"", GOOGLEFINANCE(IF(ISBLANK(C13), B13, C13&amp;"":""&amp;B13), ""name""))"),"-")</f>
        <v>-</v>
      </c>
      <c r="E13" s="40">
        <f>IFERROR(__xludf.DUMMYFUNCTION("IF(ISBLANK(B13), 0, GOOGLEFINANCE(IF(ISBLANK(C13), B13, C13&amp;"":""&amp;B13), ""price""))"),0.0)</f>
        <v>0</v>
      </c>
      <c r="F13" s="41">
        <f>IFERROR(__xludf.DUMMYFUNCTION("IF(ISBLANK(B13), 0, GOOGLEFINANCE(IF(ISBLANK(C13), B13, C13&amp;"":""&amp;B13), ""change""))"),0.0)</f>
        <v>0</v>
      </c>
      <c r="G13" s="42">
        <f>IFERROR(__xludf.DUMMYFUNCTION("IF(ISBLANK(B13), 0, GOOGLEFINANCE(IF(ISBLANK(C13), B13, C13&amp;"":""&amp;B13), ""changepct"")/100)"),0.0)</f>
        <v>0</v>
      </c>
      <c r="H13" s="39"/>
      <c r="I13" s="43">
        <f t="shared" si="1"/>
        <v>0</v>
      </c>
      <c r="J13" s="44"/>
    </row>
    <row r="14" ht="17.25" customHeight="1">
      <c r="A14" s="10"/>
      <c r="B14" s="39"/>
      <c r="C14" s="39"/>
      <c r="D14" s="10" t="str">
        <f>IFERROR(__xludf.DUMMYFUNCTION("IF(ISBLANK(B14), ""-"", GOOGLEFINANCE(IF(ISBLANK(C14), B14, C14&amp;"":""&amp;B14), ""name""))"),"-")</f>
        <v>-</v>
      </c>
      <c r="E14" s="40">
        <f>IFERROR(__xludf.DUMMYFUNCTION("IF(ISBLANK(B14), 0, GOOGLEFINANCE(IF(ISBLANK(C14), B14, C14&amp;"":""&amp;B14), ""price""))"),0.0)</f>
        <v>0</v>
      </c>
      <c r="F14" s="41">
        <f>IFERROR(__xludf.DUMMYFUNCTION("IF(ISBLANK(B14), 0, GOOGLEFINANCE(IF(ISBLANK(C14), B14, C14&amp;"":""&amp;B14), ""change""))"),0.0)</f>
        <v>0</v>
      </c>
      <c r="G14" s="42">
        <f>IFERROR(__xludf.DUMMYFUNCTION("IF(ISBLANK(B14), 0, GOOGLEFINANCE(IF(ISBLANK(C14), B14, C14&amp;"":""&amp;B14), ""changepct"")/100)"),0.0)</f>
        <v>0</v>
      </c>
      <c r="H14" s="39"/>
      <c r="I14" s="43">
        <f t="shared" si="1"/>
        <v>0</v>
      </c>
      <c r="J14" s="44"/>
    </row>
    <row r="15" ht="17.25" customHeight="1">
      <c r="A15" s="10"/>
      <c r="B15" s="39"/>
      <c r="C15" s="39"/>
      <c r="D15" s="10" t="str">
        <f>IFERROR(__xludf.DUMMYFUNCTION("IF(ISBLANK(B15), ""-"", GOOGLEFINANCE(IF(ISBLANK(C15), B15, C15&amp;"":""&amp;B15), ""name""))"),"-")</f>
        <v>-</v>
      </c>
      <c r="E15" s="40">
        <f>IFERROR(__xludf.DUMMYFUNCTION("IF(ISBLANK(B15), 0, GOOGLEFINANCE(IF(ISBLANK(C15), B15, C15&amp;"":""&amp;B15), ""price""))"),0.0)</f>
        <v>0</v>
      </c>
      <c r="F15" s="41">
        <f>IFERROR(__xludf.DUMMYFUNCTION("IF(ISBLANK(B15), 0, GOOGLEFINANCE(IF(ISBLANK(C15), B15, C15&amp;"":""&amp;B15), ""change""))"),0.0)</f>
        <v>0</v>
      </c>
      <c r="G15" s="42">
        <f>IFERROR(__xludf.DUMMYFUNCTION("IF(ISBLANK(B15), 0, GOOGLEFINANCE(IF(ISBLANK(C15), B15, C15&amp;"":""&amp;B15), ""changepct"")/100)"),0.0)</f>
        <v>0</v>
      </c>
      <c r="H15" s="39"/>
      <c r="I15" s="43">
        <f t="shared" si="1"/>
        <v>0</v>
      </c>
      <c r="J15" s="44"/>
    </row>
    <row r="16" ht="17.25" customHeight="1">
      <c r="A16" s="10"/>
      <c r="B16" s="39"/>
      <c r="C16" s="39"/>
      <c r="D16" s="10" t="str">
        <f>IFERROR(__xludf.DUMMYFUNCTION("IF(ISBLANK(B16), ""-"", GOOGLEFINANCE(IF(ISBLANK(C16), B16, C16&amp;"":""&amp;B16), ""name""))"),"-")</f>
        <v>-</v>
      </c>
      <c r="E16" s="40">
        <f>IFERROR(__xludf.DUMMYFUNCTION("IF(ISBLANK(B16), 0, GOOGLEFINANCE(IF(ISBLANK(C16), B16, C16&amp;"":""&amp;B16), ""price""))"),0.0)</f>
        <v>0</v>
      </c>
      <c r="F16" s="41">
        <f>IFERROR(__xludf.DUMMYFUNCTION("IF(ISBLANK(B16), 0, GOOGLEFINANCE(IF(ISBLANK(C16), B16, C16&amp;"":""&amp;B16), ""change""))"),0.0)</f>
        <v>0</v>
      </c>
      <c r="G16" s="42">
        <f>IFERROR(__xludf.DUMMYFUNCTION("IF(ISBLANK(B16), 0, GOOGLEFINANCE(IF(ISBLANK(C16), B16, C16&amp;"":""&amp;B16), ""changepct"")/100)"),0.0)</f>
        <v>0</v>
      </c>
      <c r="H16" s="39"/>
      <c r="I16" s="43">
        <f t="shared" si="1"/>
        <v>0</v>
      </c>
      <c r="J16" s="44"/>
    </row>
    <row r="17" ht="17.25" customHeight="1">
      <c r="A17" s="10"/>
      <c r="B17" s="39"/>
      <c r="C17" s="39"/>
      <c r="D17" s="10" t="str">
        <f>IFERROR(__xludf.DUMMYFUNCTION("IF(ISBLANK(B17), ""-"", GOOGLEFINANCE(IF(ISBLANK(C17), B17, C17&amp;"":""&amp;B17), ""name""))"),"-")</f>
        <v>-</v>
      </c>
      <c r="E17" s="40">
        <f>IFERROR(__xludf.DUMMYFUNCTION("IF(ISBLANK(B17), 0, GOOGLEFINANCE(IF(ISBLANK(C17), B17, C17&amp;"":""&amp;B17), ""price""))"),0.0)</f>
        <v>0</v>
      </c>
      <c r="F17" s="41">
        <f>IFERROR(__xludf.DUMMYFUNCTION("IF(ISBLANK(B17), 0, GOOGLEFINANCE(IF(ISBLANK(C17), B17, C17&amp;"":""&amp;B17), ""change""))"),0.0)</f>
        <v>0</v>
      </c>
      <c r="G17" s="42">
        <f>IFERROR(__xludf.DUMMYFUNCTION("IF(ISBLANK(B17), 0, GOOGLEFINANCE(IF(ISBLANK(C17), B17, C17&amp;"":""&amp;B17), ""changepct"")/100)"),0.0)</f>
        <v>0</v>
      </c>
      <c r="H17" s="39"/>
      <c r="I17" s="43">
        <f t="shared" si="1"/>
        <v>0</v>
      </c>
      <c r="J17" s="44"/>
    </row>
    <row r="18" ht="17.25" customHeight="1">
      <c r="A18" s="10"/>
      <c r="B18" s="39"/>
      <c r="C18" s="39"/>
      <c r="D18" s="10" t="str">
        <f>IFERROR(__xludf.DUMMYFUNCTION("IF(ISBLANK(B18), ""-"", GOOGLEFINANCE(IF(ISBLANK(C18), B18, C18&amp;"":""&amp;B18), ""name""))"),"-")</f>
        <v>-</v>
      </c>
      <c r="E18" s="40">
        <f>IFERROR(__xludf.DUMMYFUNCTION("IF(ISBLANK(B18), 0, GOOGLEFINANCE(IF(ISBLANK(C18), B18, C18&amp;"":""&amp;B18), ""price""))"),0.0)</f>
        <v>0</v>
      </c>
      <c r="F18" s="41">
        <f>IFERROR(__xludf.DUMMYFUNCTION("IF(ISBLANK(B18), 0, GOOGLEFINANCE(IF(ISBLANK(C18), B18, C18&amp;"":""&amp;B18), ""change""))"),0.0)</f>
        <v>0</v>
      </c>
      <c r="G18" s="42">
        <f>IFERROR(__xludf.DUMMYFUNCTION("IF(ISBLANK(B18), 0, GOOGLEFINANCE(IF(ISBLANK(C18), B18, C18&amp;"":""&amp;B18), ""changepct"")/100)"),0.0)</f>
        <v>0</v>
      </c>
      <c r="H18" s="39"/>
      <c r="I18" s="43">
        <f t="shared" si="1"/>
        <v>0</v>
      </c>
      <c r="J18" s="44"/>
    </row>
    <row r="19" ht="17.25" customHeight="1">
      <c r="A19" s="10"/>
      <c r="B19" s="39"/>
      <c r="C19" s="39"/>
      <c r="D19" s="10" t="str">
        <f>IFERROR(__xludf.DUMMYFUNCTION("IF(ISBLANK(B19), ""-"", GOOGLEFINANCE(IF(ISBLANK(C19), B19, C19&amp;"":""&amp;B19), ""name""))"),"-")</f>
        <v>-</v>
      </c>
      <c r="E19" s="40">
        <f>IFERROR(__xludf.DUMMYFUNCTION("IF(ISBLANK(B19), 0, GOOGLEFINANCE(IF(ISBLANK(C19), B19, C19&amp;"":""&amp;B19), ""price""))"),0.0)</f>
        <v>0</v>
      </c>
      <c r="F19" s="41">
        <f>IFERROR(__xludf.DUMMYFUNCTION("IF(ISBLANK(B19), 0, GOOGLEFINANCE(IF(ISBLANK(C19), B19, C19&amp;"":""&amp;B19), ""change""))"),0.0)</f>
        <v>0</v>
      </c>
      <c r="G19" s="42">
        <f>IFERROR(__xludf.DUMMYFUNCTION("IF(ISBLANK(B19), 0, GOOGLEFINANCE(IF(ISBLANK(C19), B19, C19&amp;"":""&amp;B19), ""changepct"")/100)"),0.0)</f>
        <v>0</v>
      </c>
      <c r="H19" s="39"/>
      <c r="I19" s="43">
        <f t="shared" si="1"/>
        <v>0</v>
      </c>
      <c r="J19" s="44"/>
    </row>
    <row r="20" ht="17.25" customHeight="1">
      <c r="A20" s="10"/>
      <c r="B20" s="39"/>
      <c r="C20" s="39"/>
      <c r="D20" s="10" t="str">
        <f>IFERROR(__xludf.DUMMYFUNCTION("IF(ISBLANK(B20), ""-"", GOOGLEFINANCE(IF(ISBLANK(C20), B20, C20&amp;"":""&amp;B20), ""name""))"),"-")</f>
        <v>-</v>
      </c>
      <c r="E20" s="40">
        <f>IFERROR(__xludf.DUMMYFUNCTION("IF(ISBLANK(B20), 0, GOOGLEFINANCE(IF(ISBLANK(C20), B20, C20&amp;"":""&amp;B20), ""price""))"),0.0)</f>
        <v>0</v>
      </c>
      <c r="F20" s="41">
        <f>IFERROR(__xludf.DUMMYFUNCTION("IF(ISBLANK(B20), 0, GOOGLEFINANCE(IF(ISBLANK(C20), B20, C20&amp;"":""&amp;B20), ""change""))"),0.0)</f>
        <v>0</v>
      </c>
      <c r="G20" s="42">
        <f>IFERROR(__xludf.DUMMYFUNCTION("IF(ISBLANK(B20), 0, GOOGLEFINANCE(IF(ISBLANK(C20), B20, C20&amp;"":""&amp;B20), ""changepct"")/100)"),0.0)</f>
        <v>0</v>
      </c>
      <c r="H20" s="39"/>
      <c r="I20" s="43">
        <f t="shared" si="1"/>
        <v>0</v>
      </c>
      <c r="J20" s="44"/>
    </row>
    <row r="21" ht="17.25" customHeight="1">
      <c r="A21" s="10"/>
      <c r="B21" s="39"/>
      <c r="C21" s="39"/>
      <c r="D21" s="10" t="str">
        <f>IFERROR(__xludf.DUMMYFUNCTION("IF(ISBLANK(B21), ""-"", GOOGLEFINANCE(IF(ISBLANK(C21), B21, C21&amp;"":""&amp;B21), ""name""))"),"-")</f>
        <v>-</v>
      </c>
      <c r="E21" s="40">
        <f>IFERROR(__xludf.DUMMYFUNCTION("IF(ISBLANK(B21), 0, GOOGLEFINANCE(IF(ISBLANK(C21), B21, C21&amp;"":""&amp;B21), ""price""))"),0.0)</f>
        <v>0</v>
      </c>
      <c r="F21" s="41">
        <f>IFERROR(__xludf.DUMMYFUNCTION("IF(ISBLANK(B21), 0, GOOGLEFINANCE(IF(ISBLANK(C21), B21, C21&amp;"":""&amp;B21), ""change""))"),0.0)</f>
        <v>0</v>
      </c>
      <c r="G21" s="42">
        <f>IFERROR(__xludf.DUMMYFUNCTION("IF(ISBLANK(B21), 0, GOOGLEFINANCE(IF(ISBLANK(C21), B21, C21&amp;"":""&amp;B21), ""changepct"")/100)"),0.0)</f>
        <v>0</v>
      </c>
      <c r="H21" s="39"/>
      <c r="I21" s="43">
        <f t="shared" si="1"/>
        <v>0</v>
      </c>
      <c r="J21" s="44"/>
    </row>
    <row r="22" ht="17.25" customHeight="1">
      <c r="A22" s="10"/>
      <c r="B22" s="39"/>
      <c r="C22" s="39"/>
      <c r="D22" s="10" t="str">
        <f>IFERROR(__xludf.DUMMYFUNCTION("IF(ISBLANK(B22), ""-"", GOOGLEFINANCE(IF(ISBLANK(C22), B22, C22&amp;"":""&amp;B22), ""name""))"),"-")</f>
        <v>-</v>
      </c>
      <c r="E22" s="40">
        <f>IFERROR(__xludf.DUMMYFUNCTION("IF(ISBLANK(B22), 0, GOOGLEFINANCE(IF(ISBLANK(C22), B22, C22&amp;"":""&amp;B22), ""price""))"),0.0)</f>
        <v>0</v>
      </c>
      <c r="F22" s="41">
        <f>IFERROR(__xludf.DUMMYFUNCTION("IF(ISBLANK(B22), 0, GOOGLEFINANCE(IF(ISBLANK(C22), B22, C22&amp;"":""&amp;B22), ""change""))"),0.0)</f>
        <v>0</v>
      </c>
      <c r="G22" s="42">
        <f>IFERROR(__xludf.DUMMYFUNCTION("IF(ISBLANK(B22), 0, GOOGLEFINANCE(IF(ISBLANK(C22), B22, C22&amp;"":""&amp;B22), ""changepct"")/100)"),0.0)</f>
        <v>0</v>
      </c>
      <c r="H22" s="39"/>
      <c r="I22" s="43">
        <f t="shared" si="1"/>
        <v>0</v>
      </c>
      <c r="J22" s="44"/>
    </row>
    <row r="23" ht="17.25" customHeight="1">
      <c r="A23" s="10"/>
      <c r="B23" s="39"/>
      <c r="C23" s="39"/>
      <c r="D23" s="10" t="str">
        <f>IFERROR(__xludf.DUMMYFUNCTION("IF(ISBLANK(B23), ""-"", GOOGLEFINANCE(IF(ISBLANK(C23), B23, C23&amp;"":""&amp;B23), ""name""))"),"-")</f>
        <v>-</v>
      </c>
      <c r="E23" s="40">
        <f>IFERROR(__xludf.DUMMYFUNCTION("IF(ISBLANK(B23), 0, GOOGLEFINANCE(IF(ISBLANK(C23), B23, C23&amp;"":""&amp;B23), ""price""))"),0.0)</f>
        <v>0</v>
      </c>
      <c r="F23" s="41">
        <f>IFERROR(__xludf.DUMMYFUNCTION("IF(ISBLANK(B23), 0, GOOGLEFINANCE(IF(ISBLANK(C23), B23, C23&amp;"":""&amp;B23), ""change""))"),0.0)</f>
        <v>0</v>
      </c>
      <c r="G23" s="42">
        <f>IFERROR(__xludf.DUMMYFUNCTION("IF(ISBLANK(B23), 0, GOOGLEFINANCE(IF(ISBLANK(C23), B23, C23&amp;"":""&amp;B23), ""changepct"")/100)"),0.0)</f>
        <v>0</v>
      </c>
      <c r="H23" s="39"/>
      <c r="I23" s="43">
        <f t="shared" si="1"/>
        <v>0</v>
      </c>
      <c r="J23" s="44"/>
    </row>
    <row r="24" ht="17.25" customHeight="1">
      <c r="A24" s="10"/>
      <c r="B24" s="39"/>
      <c r="C24" s="39"/>
      <c r="D24" s="10" t="str">
        <f>IFERROR(__xludf.DUMMYFUNCTION("IF(ISBLANK(B24), ""-"", GOOGLEFINANCE(IF(ISBLANK(C24), B24, C24&amp;"":""&amp;B24), ""name""))"),"-")</f>
        <v>-</v>
      </c>
      <c r="E24" s="40">
        <f>IFERROR(__xludf.DUMMYFUNCTION("IF(ISBLANK(B24), 0, GOOGLEFINANCE(IF(ISBLANK(C24), B24, C24&amp;"":""&amp;B24), ""price""))"),0.0)</f>
        <v>0</v>
      </c>
      <c r="F24" s="41">
        <f>IFERROR(__xludf.DUMMYFUNCTION("IF(ISBLANK(B24), 0, GOOGLEFINANCE(IF(ISBLANK(C24), B24, C24&amp;"":""&amp;B24), ""change""))"),0.0)</f>
        <v>0</v>
      </c>
      <c r="G24" s="42">
        <f>IFERROR(__xludf.DUMMYFUNCTION("IF(ISBLANK(B24), 0, GOOGLEFINANCE(IF(ISBLANK(C24), B24, C24&amp;"":""&amp;B24), ""changepct"")/100)"),0.0)</f>
        <v>0</v>
      </c>
      <c r="H24" s="39"/>
      <c r="I24" s="43">
        <f t="shared" si="1"/>
        <v>0</v>
      </c>
      <c r="J24" s="44"/>
    </row>
    <row r="25" ht="17.25" customHeight="1">
      <c r="A25" s="10"/>
      <c r="B25" s="39"/>
      <c r="C25" s="39"/>
      <c r="D25" s="10" t="str">
        <f>IFERROR(__xludf.DUMMYFUNCTION("IF(ISBLANK(B25), ""-"", GOOGLEFINANCE(IF(ISBLANK(C25), B25, C25&amp;"":""&amp;B25), ""name""))"),"-")</f>
        <v>-</v>
      </c>
      <c r="E25" s="40">
        <f>IFERROR(__xludf.DUMMYFUNCTION("IF(ISBLANK(B25), 0, GOOGLEFINANCE(IF(ISBLANK(C25), B25, C25&amp;"":""&amp;B25), ""price""))"),0.0)</f>
        <v>0</v>
      </c>
      <c r="F25" s="41">
        <f>IFERROR(__xludf.DUMMYFUNCTION("IF(ISBLANK(B25), 0, GOOGLEFINANCE(IF(ISBLANK(C25), B25, C25&amp;"":""&amp;B25), ""change""))"),0.0)</f>
        <v>0</v>
      </c>
      <c r="G25" s="42">
        <f>IFERROR(__xludf.DUMMYFUNCTION("IF(ISBLANK(B25), 0, GOOGLEFINANCE(IF(ISBLANK(C25), B25, C25&amp;"":""&amp;B25), ""changepct"")/100)"),0.0)</f>
        <v>0</v>
      </c>
      <c r="H25" s="39"/>
      <c r="I25" s="43">
        <f t="shared" si="1"/>
        <v>0</v>
      </c>
      <c r="J25" s="44"/>
    </row>
    <row r="26" ht="17.25" customHeight="1">
      <c r="A26" s="10"/>
      <c r="B26" s="39"/>
      <c r="C26" s="39"/>
      <c r="D26" s="10" t="str">
        <f>IFERROR(__xludf.DUMMYFUNCTION("IF(ISBLANK(B26), ""-"", GOOGLEFINANCE(IF(ISBLANK(C26), B26, C26&amp;"":""&amp;B26), ""name""))"),"-")</f>
        <v>-</v>
      </c>
      <c r="E26" s="40">
        <f>IFERROR(__xludf.DUMMYFUNCTION("IF(ISBLANK(B26), 0, GOOGLEFINANCE(IF(ISBLANK(C26), B26, C26&amp;"":""&amp;B26), ""price""))"),0.0)</f>
        <v>0</v>
      </c>
      <c r="F26" s="41">
        <f>IFERROR(__xludf.DUMMYFUNCTION("IF(ISBLANK(B26), 0, GOOGLEFINANCE(IF(ISBLANK(C26), B26, C26&amp;"":""&amp;B26), ""change""))"),0.0)</f>
        <v>0</v>
      </c>
      <c r="G26" s="42">
        <f>IFERROR(__xludf.DUMMYFUNCTION("IF(ISBLANK(B26), 0, GOOGLEFINANCE(IF(ISBLANK(C26), B26, C26&amp;"":""&amp;B26), ""changepct"")/100)"),0.0)</f>
        <v>0</v>
      </c>
      <c r="H26" s="39"/>
      <c r="I26" s="43">
        <f t="shared" si="1"/>
        <v>0</v>
      </c>
      <c r="J26" s="44"/>
    </row>
    <row r="27" ht="17.25" customHeight="1">
      <c r="A27" s="10"/>
      <c r="B27" s="39"/>
      <c r="C27" s="39"/>
      <c r="D27" s="10" t="str">
        <f>IFERROR(__xludf.DUMMYFUNCTION("IF(ISBLANK(B27), ""-"", GOOGLEFINANCE(IF(ISBLANK(C27), B27, C27&amp;"":""&amp;B27), ""name""))"),"-")</f>
        <v>-</v>
      </c>
      <c r="E27" s="40">
        <f>IFERROR(__xludf.DUMMYFUNCTION("IF(ISBLANK(B27), 0, GOOGLEFINANCE(IF(ISBLANK(C27), B27, C27&amp;"":""&amp;B27), ""price""))"),0.0)</f>
        <v>0</v>
      </c>
      <c r="F27" s="41">
        <f>IFERROR(__xludf.DUMMYFUNCTION("IF(ISBLANK(B27), 0, GOOGLEFINANCE(IF(ISBLANK(C27), B27, C27&amp;"":""&amp;B27), ""change""))"),0.0)</f>
        <v>0</v>
      </c>
      <c r="G27" s="42">
        <f>IFERROR(__xludf.DUMMYFUNCTION("IF(ISBLANK(B27), 0, GOOGLEFINANCE(IF(ISBLANK(C27), B27, C27&amp;"":""&amp;B27), ""changepct"")/100)"),0.0)</f>
        <v>0</v>
      </c>
      <c r="H27" s="39"/>
      <c r="I27" s="43">
        <f t="shared" si="1"/>
        <v>0</v>
      </c>
      <c r="J27" s="44"/>
    </row>
    <row r="28" ht="17.25" customHeight="1">
      <c r="A28" s="10"/>
      <c r="B28" s="39"/>
      <c r="C28" s="39"/>
      <c r="D28" s="10" t="str">
        <f>IFERROR(__xludf.DUMMYFUNCTION("IF(ISBLANK(B28), ""-"", GOOGLEFINANCE(IF(ISBLANK(C28), B28, C28&amp;"":""&amp;B28), ""name""))"),"-")</f>
        <v>-</v>
      </c>
      <c r="E28" s="40">
        <f>IFERROR(__xludf.DUMMYFUNCTION("IF(ISBLANK(B28), 0, GOOGLEFINANCE(IF(ISBLANK(C28), B28, C28&amp;"":""&amp;B28), ""price""))"),0.0)</f>
        <v>0</v>
      </c>
      <c r="F28" s="41">
        <f>IFERROR(__xludf.DUMMYFUNCTION("IF(ISBLANK(B28), 0, GOOGLEFINANCE(IF(ISBLANK(C28), B28, C28&amp;"":""&amp;B28), ""change""))"),0.0)</f>
        <v>0</v>
      </c>
      <c r="G28" s="42">
        <f>IFERROR(__xludf.DUMMYFUNCTION("IF(ISBLANK(B28), 0, GOOGLEFINANCE(IF(ISBLANK(C28), B28, C28&amp;"":""&amp;B28), ""changepct"")/100)"),0.0)</f>
        <v>0</v>
      </c>
      <c r="H28" s="39"/>
      <c r="I28" s="43">
        <f t="shared" si="1"/>
        <v>0</v>
      </c>
      <c r="J28" s="44"/>
    </row>
    <row r="29" ht="17.25" customHeight="1">
      <c r="A29" s="10"/>
      <c r="B29" s="39"/>
      <c r="C29" s="39"/>
      <c r="D29" s="10" t="str">
        <f>IFERROR(__xludf.DUMMYFUNCTION("IF(ISBLANK(B29), ""-"", GOOGLEFINANCE(IF(ISBLANK(C29), B29, C29&amp;"":""&amp;B29), ""name""))"),"-")</f>
        <v>-</v>
      </c>
      <c r="E29" s="40">
        <f>IFERROR(__xludf.DUMMYFUNCTION("IF(ISBLANK(B29), 0, GOOGLEFINANCE(IF(ISBLANK(C29), B29, C29&amp;"":""&amp;B29), ""price""))"),0.0)</f>
        <v>0</v>
      </c>
      <c r="F29" s="41">
        <f>IFERROR(__xludf.DUMMYFUNCTION("IF(ISBLANK(B29), 0, GOOGLEFINANCE(IF(ISBLANK(C29), B29, C29&amp;"":""&amp;B29), ""change""))"),0.0)</f>
        <v>0</v>
      </c>
      <c r="G29" s="42">
        <f>IFERROR(__xludf.DUMMYFUNCTION("IF(ISBLANK(B29), 0, GOOGLEFINANCE(IF(ISBLANK(C29), B29, C29&amp;"":""&amp;B29), ""changepct"")/100)"),0.0)</f>
        <v>0</v>
      </c>
      <c r="H29" s="39"/>
      <c r="I29" s="43">
        <f t="shared" si="1"/>
        <v>0</v>
      </c>
      <c r="J29" s="44"/>
    </row>
    <row r="30" ht="17.25" customHeight="1">
      <c r="A30" s="10"/>
      <c r="B30" s="39"/>
      <c r="C30" s="39"/>
      <c r="D30" s="10" t="str">
        <f>IFERROR(__xludf.DUMMYFUNCTION("IF(ISBLANK(B30), ""-"", GOOGLEFINANCE(IF(ISBLANK(C30), B30, C30&amp;"":""&amp;B30), ""name""))"),"-")</f>
        <v>-</v>
      </c>
      <c r="E30" s="40">
        <f>IFERROR(__xludf.DUMMYFUNCTION("IF(ISBLANK(B30), 0, GOOGLEFINANCE(IF(ISBLANK(C30), B30, C30&amp;"":""&amp;B30), ""price""))"),0.0)</f>
        <v>0</v>
      </c>
      <c r="F30" s="41">
        <f>IFERROR(__xludf.DUMMYFUNCTION("IF(ISBLANK(B30), 0, GOOGLEFINANCE(IF(ISBLANK(C30), B30, C30&amp;"":""&amp;B30), ""change""))"),0.0)</f>
        <v>0</v>
      </c>
      <c r="G30" s="42">
        <f>IFERROR(__xludf.DUMMYFUNCTION("IF(ISBLANK(B30), 0, GOOGLEFINANCE(IF(ISBLANK(C30), B30, C30&amp;"":""&amp;B30), ""changepct"")/100)"),0.0)</f>
        <v>0</v>
      </c>
      <c r="H30" s="39"/>
      <c r="I30" s="43">
        <f t="shared" si="1"/>
        <v>0</v>
      </c>
      <c r="J30" s="44"/>
    </row>
    <row r="31" ht="17.25" customHeight="1">
      <c r="A31" s="10"/>
      <c r="B31" s="39"/>
      <c r="C31" s="39"/>
      <c r="D31" s="10" t="str">
        <f>IFERROR(__xludf.DUMMYFUNCTION("IF(ISBLANK(B31), ""-"", GOOGLEFINANCE(IF(ISBLANK(C31), B31, C31&amp;"":""&amp;B31), ""name""))"),"-")</f>
        <v>-</v>
      </c>
      <c r="E31" s="40">
        <f>IFERROR(__xludf.DUMMYFUNCTION("IF(ISBLANK(B31), 0, GOOGLEFINANCE(IF(ISBLANK(C31), B31, C31&amp;"":""&amp;B31), ""price""))"),0.0)</f>
        <v>0</v>
      </c>
      <c r="F31" s="41">
        <f>IFERROR(__xludf.DUMMYFUNCTION("IF(ISBLANK(B31), 0, GOOGLEFINANCE(IF(ISBLANK(C31), B31, C31&amp;"":""&amp;B31), ""change""))"),0.0)</f>
        <v>0</v>
      </c>
      <c r="G31" s="42">
        <f>IFERROR(__xludf.DUMMYFUNCTION("IF(ISBLANK(B31), 0, GOOGLEFINANCE(IF(ISBLANK(C31), B31, C31&amp;"":""&amp;B31), ""changepct"")/100)"),0.0)</f>
        <v>0</v>
      </c>
      <c r="H31" s="39"/>
      <c r="I31" s="43">
        <f t="shared" si="1"/>
        <v>0</v>
      </c>
      <c r="J31" s="44"/>
    </row>
    <row r="32" ht="17.25" customHeight="1">
      <c r="A32" s="10"/>
      <c r="B32" s="39"/>
      <c r="C32" s="39"/>
      <c r="D32" s="10" t="str">
        <f>IFERROR(__xludf.DUMMYFUNCTION("IF(ISBLANK(B32), ""-"", GOOGLEFINANCE(IF(ISBLANK(C32), B32, C32&amp;"":""&amp;B32), ""name""))"),"-")</f>
        <v>-</v>
      </c>
      <c r="E32" s="40">
        <f>IFERROR(__xludf.DUMMYFUNCTION("IF(ISBLANK(B32), 0, GOOGLEFINANCE(IF(ISBLANK(C32), B32, C32&amp;"":""&amp;B32), ""price""))"),0.0)</f>
        <v>0</v>
      </c>
      <c r="F32" s="41">
        <f>IFERROR(__xludf.DUMMYFUNCTION("IF(ISBLANK(B32), 0, GOOGLEFINANCE(IF(ISBLANK(C32), B32, C32&amp;"":""&amp;B32), ""change""))"),0.0)</f>
        <v>0</v>
      </c>
      <c r="G32" s="42">
        <f>IFERROR(__xludf.DUMMYFUNCTION("IF(ISBLANK(B32), 0, GOOGLEFINANCE(IF(ISBLANK(C32), B32, C32&amp;"":""&amp;B32), ""changepct"")/100)"),0.0)</f>
        <v>0</v>
      </c>
      <c r="H32" s="39"/>
      <c r="I32" s="43">
        <f t="shared" si="1"/>
        <v>0</v>
      </c>
      <c r="J32" s="44"/>
    </row>
    <row r="33" ht="17.25" customHeight="1">
      <c r="A33" s="10"/>
      <c r="B33" s="39"/>
      <c r="C33" s="39"/>
      <c r="D33" s="10" t="str">
        <f>IFERROR(__xludf.DUMMYFUNCTION("IF(ISBLANK(B33), ""-"", GOOGLEFINANCE(IF(ISBLANK(C33), B33, C33&amp;"":""&amp;B33), ""name""))"),"-")</f>
        <v>-</v>
      </c>
      <c r="E33" s="40">
        <f>IFERROR(__xludf.DUMMYFUNCTION("IF(ISBLANK(B33), 0, GOOGLEFINANCE(IF(ISBLANK(C33), B33, C33&amp;"":""&amp;B33), ""price""))"),0.0)</f>
        <v>0</v>
      </c>
      <c r="F33" s="41">
        <f>IFERROR(__xludf.DUMMYFUNCTION("IF(ISBLANK(B33), 0, GOOGLEFINANCE(IF(ISBLANK(C33), B33, C33&amp;"":""&amp;B33), ""change""))"),0.0)</f>
        <v>0</v>
      </c>
      <c r="G33" s="42">
        <f>IFERROR(__xludf.DUMMYFUNCTION("IF(ISBLANK(B33), 0, GOOGLEFINANCE(IF(ISBLANK(C33), B33, C33&amp;"":""&amp;B33), ""changepct"")/100)"),0.0)</f>
        <v>0</v>
      </c>
      <c r="H33" s="39"/>
      <c r="I33" s="43">
        <f t="shared" si="1"/>
        <v>0</v>
      </c>
      <c r="J33" s="44"/>
    </row>
    <row r="34" ht="17.25" customHeight="1">
      <c r="A34" s="10"/>
      <c r="B34" s="39"/>
      <c r="C34" s="39"/>
      <c r="D34" s="10" t="str">
        <f>IFERROR(__xludf.DUMMYFUNCTION("IF(ISBLANK(B34), ""-"", GOOGLEFINANCE(IF(ISBLANK(C34), B34, C34&amp;"":""&amp;B34), ""name""))"),"-")</f>
        <v>-</v>
      </c>
      <c r="E34" s="40">
        <f>IFERROR(__xludf.DUMMYFUNCTION("IF(ISBLANK(B34), 0, GOOGLEFINANCE(IF(ISBLANK(C34), B34, C34&amp;"":""&amp;B34), ""price""))"),0.0)</f>
        <v>0</v>
      </c>
      <c r="F34" s="41">
        <f>IFERROR(__xludf.DUMMYFUNCTION("IF(ISBLANK(B34), 0, GOOGLEFINANCE(IF(ISBLANK(C34), B34, C34&amp;"":""&amp;B34), ""change""))"),0.0)</f>
        <v>0</v>
      </c>
      <c r="G34" s="42">
        <f>IFERROR(__xludf.DUMMYFUNCTION("IF(ISBLANK(B34), 0, GOOGLEFINANCE(IF(ISBLANK(C34), B34, C34&amp;"":""&amp;B34), ""changepct"")/100)"),0.0)</f>
        <v>0</v>
      </c>
      <c r="H34" s="39"/>
      <c r="I34" s="43">
        <f t="shared" si="1"/>
        <v>0</v>
      </c>
      <c r="J34" s="44"/>
    </row>
    <row r="35" ht="17.25" customHeight="1">
      <c r="A35" s="10"/>
      <c r="B35" s="39"/>
      <c r="C35" s="39"/>
      <c r="D35" s="10" t="str">
        <f>IFERROR(__xludf.DUMMYFUNCTION("IF(ISBLANK(B35), ""-"", GOOGLEFINANCE(IF(ISBLANK(C35), B35, C35&amp;"":""&amp;B35), ""name""))"),"-")</f>
        <v>-</v>
      </c>
      <c r="E35" s="40">
        <f>IFERROR(__xludf.DUMMYFUNCTION("IF(ISBLANK(B35), 0, GOOGLEFINANCE(IF(ISBLANK(C35), B35, C35&amp;"":""&amp;B35), ""price""))"),0.0)</f>
        <v>0</v>
      </c>
      <c r="F35" s="41">
        <f>IFERROR(__xludf.DUMMYFUNCTION("IF(ISBLANK(B35), 0, GOOGLEFINANCE(IF(ISBLANK(C35), B35, C35&amp;"":""&amp;B35), ""change""))"),0.0)</f>
        <v>0</v>
      </c>
      <c r="G35" s="42">
        <f>IFERROR(__xludf.DUMMYFUNCTION("IF(ISBLANK(B35), 0, GOOGLEFINANCE(IF(ISBLANK(C35), B35, C35&amp;"":""&amp;B35), ""changepct"")/100)"),0.0)</f>
        <v>0</v>
      </c>
      <c r="H35" s="39"/>
      <c r="I35" s="43">
        <f t="shared" si="1"/>
        <v>0</v>
      </c>
      <c r="J35" s="44"/>
    </row>
    <row r="36" ht="17.25" customHeight="1">
      <c r="A36" s="10"/>
      <c r="B36" s="39"/>
      <c r="C36" s="39"/>
      <c r="D36" s="10" t="str">
        <f>IFERROR(__xludf.DUMMYFUNCTION("IF(ISBLANK(B36), ""-"", GOOGLEFINANCE(IF(ISBLANK(C36), B36, C36&amp;"":""&amp;B36), ""name""))"),"-")</f>
        <v>-</v>
      </c>
      <c r="E36" s="40">
        <f>IFERROR(__xludf.DUMMYFUNCTION("IF(ISBLANK(B36), 0, GOOGLEFINANCE(IF(ISBLANK(C36), B36, C36&amp;"":""&amp;B36), ""price""))"),0.0)</f>
        <v>0</v>
      </c>
      <c r="F36" s="41">
        <f>IFERROR(__xludf.DUMMYFUNCTION("IF(ISBLANK(B36), 0, GOOGLEFINANCE(IF(ISBLANK(C36), B36, C36&amp;"":""&amp;B36), ""change""))"),0.0)</f>
        <v>0</v>
      </c>
      <c r="G36" s="42">
        <f>IFERROR(__xludf.DUMMYFUNCTION("IF(ISBLANK(B36), 0, GOOGLEFINANCE(IF(ISBLANK(C36), B36, C36&amp;"":""&amp;B36), ""changepct"")/100)"),0.0)</f>
        <v>0</v>
      </c>
      <c r="H36" s="39"/>
      <c r="I36" s="43">
        <f t="shared" si="1"/>
        <v>0</v>
      </c>
      <c r="J36" s="44"/>
    </row>
    <row r="37" ht="17.25" customHeight="1">
      <c r="A37" s="10"/>
      <c r="B37" s="39"/>
      <c r="C37" s="39"/>
      <c r="D37" s="10" t="str">
        <f>IFERROR(__xludf.DUMMYFUNCTION("IF(ISBLANK(B37), ""-"", GOOGLEFINANCE(IF(ISBLANK(C37), B37, C37&amp;"":""&amp;B37), ""name""))"),"-")</f>
        <v>-</v>
      </c>
      <c r="E37" s="40">
        <f>IFERROR(__xludf.DUMMYFUNCTION("IF(ISBLANK(B37), 0, GOOGLEFINANCE(IF(ISBLANK(C37), B37, C37&amp;"":""&amp;B37), ""price""))"),0.0)</f>
        <v>0</v>
      </c>
      <c r="F37" s="41">
        <f>IFERROR(__xludf.DUMMYFUNCTION("IF(ISBLANK(B37), 0, GOOGLEFINANCE(IF(ISBLANK(C37), B37, C37&amp;"":""&amp;B37), ""change""))"),0.0)</f>
        <v>0</v>
      </c>
      <c r="G37" s="42">
        <f>IFERROR(__xludf.DUMMYFUNCTION("IF(ISBLANK(B37), 0, GOOGLEFINANCE(IF(ISBLANK(C37), B37, C37&amp;"":""&amp;B37), ""changepct"")/100)"),0.0)</f>
        <v>0</v>
      </c>
      <c r="H37" s="39"/>
      <c r="I37" s="43">
        <f t="shared" si="1"/>
        <v>0</v>
      </c>
      <c r="J37" s="44"/>
    </row>
    <row r="38" ht="17.25" customHeight="1">
      <c r="A38" s="10"/>
      <c r="B38" s="39"/>
      <c r="C38" s="39"/>
      <c r="D38" s="10" t="str">
        <f>IFERROR(__xludf.DUMMYFUNCTION("IF(ISBLANK(B38), ""-"", GOOGLEFINANCE(IF(ISBLANK(C38), B38, C38&amp;"":""&amp;B38), ""name""))"),"-")</f>
        <v>-</v>
      </c>
      <c r="E38" s="40">
        <f>IFERROR(__xludf.DUMMYFUNCTION("IF(ISBLANK(B38), 0, GOOGLEFINANCE(IF(ISBLANK(C38), B38, C38&amp;"":""&amp;B38), ""price""))"),0.0)</f>
        <v>0</v>
      </c>
      <c r="F38" s="41">
        <f>IFERROR(__xludf.DUMMYFUNCTION("IF(ISBLANK(B38), 0, GOOGLEFINANCE(IF(ISBLANK(C38), B38, C38&amp;"":""&amp;B38), ""change""))"),0.0)</f>
        <v>0</v>
      </c>
      <c r="G38" s="42">
        <f>IFERROR(__xludf.DUMMYFUNCTION("IF(ISBLANK(B38), 0, GOOGLEFINANCE(IF(ISBLANK(C38), B38, C38&amp;"":""&amp;B38), ""changepct"")/100)"),0.0)</f>
        <v>0</v>
      </c>
      <c r="H38" s="39"/>
      <c r="I38" s="43">
        <f t="shared" si="1"/>
        <v>0</v>
      </c>
      <c r="J38" s="44"/>
    </row>
    <row r="39" ht="17.25" customHeight="1">
      <c r="A39" s="10"/>
      <c r="B39" s="39"/>
      <c r="C39" s="39"/>
      <c r="D39" s="10" t="str">
        <f>IFERROR(__xludf.DUMMYFUNCTION("IF(ISBLANK(B39), ""-"", GOOGLEFINANCE(IF(ISBLANK(C39), B39, C39&amp;"":""&amp;B39), ""name""))"),"-")</f>
        <v>-</v>
      </c>
      <c r="E39" s="40">
        <f>IFERROR(__xludf.DUMMYFUNCTION("IF(ISBLANK(B39), 0, GOOGLEFINANCE(IF(ISBLANK(C39), B39, C39&amp;"":""&amp;B39), ""price""))"),0.0)</f>
        <v>0</v>
      </c>
      <c r="F39" s="41">
        <f>IFERROR(__xludf.DUMMYFUNCTION("IF(ISBLANK(B39), 0, GOOGLEFINANCE(IF(ISBLANK(C39), B39, C39&amp;"":""&amp;B39), ""change""))"),0.0)</f>
        <v>0</v>
      </c>
      <c r="G39" s="42">
        <f>IFERROR(__xludf.DUMMYFUNCTION("IF(ISBLANK(B39), 0, GOOGLEFINANCE(IF(ISBLANK(C39), B39, C39&amp;"":""&amp;B39), ""changepct"")/100)"),0.0)</f>
        <v>0</v>
      </c>
      <c r="H39" s="39"/>
      <c r="I39" s="43">
        <f t="shared" si="1"/>
        <v>0</v>
      </c>
      <c r="J39" s="44"/>
    </row>
    <row r="40" ht="17.25" customHeight="1">
      <c r="A40" s="10"/>
      <c r="B40" s="39"/>
      <c r="C40" s="39"/>
      <c r="D40" s="10" t="str">
        <f>IFERROR(__xludf.DUMMYFUNCTION("IF(ISBLANK(B40), ""-"", GOOGLEFINANCE(IF(ISBLANK(C40), B40, C40&amp;"":""&amp;B40), ""name""))"),"-")</f>
        <v>-</v>
      </c>
      <c r="E40" s="40">
        <f>IFERROR(__xludf.DUMMYFUNCTION("IF(ISBLANK(B40), 0, GOOGLEFINANCE(IF(ISBLANK(C40), B40, C40&amp;"":""&amp;B40), ""price""))"),0.0)</f>
        <v>0</v>
      </c>
      <c r="F40" s="41">
        <f>IFERROR(__xludf.DUMMYFUNCTION("IF(ISBLANK(B40), 0, GOOGLEFINANCE(IF(ISBLANK(C40), B40, C40&amp;"":""&amp;B40), ""change""))"),0.0)</f>
        <v>0</v>
      </c>
      <c r="G40" s="42">
        <f>IFERROR(__xludf.DUMMYFUNCTION("IF(ISBLANK(B40), 0, GOOGLEFINANCE(IF(ISBLANK(C40), B40, C40&amp;"":""&amp;B40), ""changepct"")/100)"),0.0)</f>
        <v>0</v>
      </c>
      <c r="H40" s="39"/>
      <c r="I40" s="43">
        <f t="shared" si="1"/>
        <v>0</v>
      </c>
      <c r="J40" s="44"/>
    </row>
  </sheetData>
  <mergeCells count="2">
    <mergeCell ref="B1:H2"/>
    <mergeCell ref="B6:D6"/>
  </mergeCells>
  <conditionalFormatting sqref="F9:G40">
    <cfRule type="cellIs" dxfId="2" priority="1" operator="greaterThan">
      <formula>0</formula>
    </cfRule>
  </conditionalFormatting>
  <conditionalFormatting sqref="F9:G40">
    <cfRule type="cellIs" dxfId="6" priority="2" operator="lessThan">
      <formula>0</formula>
    </cfRule>
  </conditionalFormatting>
  <hyperlinks>
    <hyperlink r:id="rId1" ref="I2"/>
  </hyperlinks>
  <drawing r:id="rId2"/>
</worksheet>
</file>